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П за 2 кв 2022 _подготовка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1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'21квФп'!$A$1:$H$459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'21квФп'!$A$1:$H$459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52" i="20" l="1"/>
  <c r="E235" i="20"/>
  <c r="E222" i="20"/>
  <c r="E215" i="20"/>
  <c r="E213" i="20"/>
  <c r="E200" i="20"/>
  <c r="E199" i="20"/>
  <c r="E198" i="20"/>
  <c r="E197" i="20"/>
  <c r="E195" i="20"/>
  <c r="E194" i="20"/>
  <c r="E192" i="20"/>
  <c r="E189" i="20"/>
  <c r="E188" i="20"/>
  <c r="E167" i="20"/>
  <c r="E176" i="20"/>
  <c r="E133" i="20" l="1"/>
  <c r="E32" i="20"/>
  <c r="E103" i="20" l="1"/>
  <c r="E97" i="20"/>
  <c r="E74" i="20"/>
  <c r="E76" i="20"/>
  <c r="E69" i="20"/>
  <c r="E68" i="20"/>
  <c r="E67" i="20"/>
  <c r="E66" i="20"/>
  <c r="E64" i="20"/>
  <c r="E60" i="20"/>
  <c r="E58" i="20"/>
  <c r="E37" i="20"/>
  <c r="E389" i="20" l="1"/>
  <c r="D389" i="20"/>
  <c r="D354" i="20"/>
  <c r="D215" i="20"/>
  <c r="E196" i="20"/>
  <c r="E185" i="20"/>
  <c r="D305" i="20"/>
  <c r="D313" i="20"/>
  <c r="E281" i="20"/>
  <c r="D196" i="20"/>
  <c r="E105" i="20" l="1"/>
  <c r="D133" i="20"/>
  <c r="D105" i="20"/>
  <c r="E104" i="20"/>
  <c r="E100" i="20"/>
  <c r="D79" i="20"/>
  <c r="E73" i="20"/>
  <c r="E106" i="20"/>
  <c r="E75" i="20"/>
  <c r="E72" i="20"/>
  <c r="E70" i="20"/>
  <c r="E108" i="20" l="1"/>
  <c r="E96" i="20"/>
  <c r="E102" i="20"/>
  <c r="D74" i="20" l="1"/>
  <c r="D75" i="20"/>
  <c r="D70" i="20"/>
  <c r="D72" i="20"/>
  <c r="D69" i="20"/>
  <c r="D68" i="20"/>
  <c r="D67" i="20"/>
  <c r="D66" i="20"/>
  <c r="D64" i="20"/>
  <c r="D60" i="20"/>
  <c r="D58" i="20"/>
  <c r="D32" i="20"/>
  <c r="D376" i="20" l="1"/>
  <c r="D375" i="20" s="1"/>
  <c r="D374" i="20" s="1"/>
  <c r="D373" i="20" s="1"/>
  <c r="D303" i="20" l="1"/>
  <c r="D281" i="20"/>
  <c r="D242" i="20" l="1"/>
  <c r="F248" i="20"/>
  <c r="E241" i="20"/>
  <c r="D241" i="20"/>
  <c r="G235" i="20"/>
  <c r="G222" i="20"/>
  <c r="F235" i="20"/>
  <c r="E234" i="20"/>
  <c r="D234" i="20"/>
  <c r="E251" i="20"/>
  <c r="E211" i="20"/>
  <c r="E210" i="20" s="1"/>
  <c r="E244" i="20" s="1"/>
  <c r="E184" i="20"/>
  <c r="D247" i="20"/>
  <c r="D246" i="20"/>
  <c r="D211" i="20"/>
  <c r="D210" i="20" s="1"/>
  <c r="D220" i="20"/>
  <c r="F236" i="20"/>
  <c r="F237" i="20"/>
  <c r="D187" i="20"/>
  <c r="D184" i="20"/>
  <c r="G234" i="20" l="1"/>
  <c r="D244" i="20"/>
  <c r="D243" i="20"/>
  <c r="D250" i="20" s="1"/>
  <c r="D252" i="20" s="1"/>
  <c r="D202" i="20"/>
  <c r="E52" i="20"/>
  <c r="E95" i="20" s="1"/>
  <c r="E123" i="20" s="1"/>
  <c r="E138" i="20" s="1"/>
  <c r="D100" i="20"/>
  <c r="D97" i="20" s="1"/>
  <c r="D106" i="20"/>
  <c r="D103" i="20" s="1"/>
  <c r="D52" i="20" l="1"/>
  <c r="D73" i="20"/>
  <c r="D104" i="20"/>
  <c r="D108" i="20" s="1"/>
  <c r="E56" i="20"/>
  <c r="E55" i="20" s="1"/>
  <c r="D62" i="20"/>
  <c r="D102" i="20"/>
  <c r="D77" i="20"/>
  <c r="D56" i="20"/>
  <c r="D55" i="20" s="1"/>
  <c r="D53" i="20" s="1"/>
  <c r="D23" i="20"/>
  <c r="E53" i="20" l="1"/>
  <c r="E354" i="20"/>
  <c r="D47" i="20"/>
  <c r="D38" i="20" s="1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1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34" i="20"/>
  <c r="F225" i="20"/>
  <c r="F224" i="20"/>
  <c r="F222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123" i="20" s="1"/>
  <c r="D138" i="20" s="1"/>
  <c r="D81" i="20"/>
  <c r="D90" i="20"/>
  <c r="D118" i="20" l="1"/>
  <c r="D109" i="20"/>
  <c r="D160" i="20" s="1"/>
  <c r="E247" i="20"/>
  <c r="E246" i="20"/>
  <c r="E243" i="20"/>
  <c r="E187" i="20"/>
  <c r="E62" i="20"/>
  <c r="E47" i="20" l="1"/>
  <c r="E79" i="20"/>
  <c r="D124" i="20"/>
  <c r="D148" i="20" s="1"/>
  <c r="D139" i="20" s="1"/>
  <c r="D158" i="20" s="1"/>
  <c r="D154" i="20" s="1"/>
  <c r="G196" i="20"/>
  <c r="F196" i="20"/>
  <c r="G187" i="20"/>
  <c r="F187" i="20"/>
  <c r="F247" i="20"/>
  <c r="F246" i="20"/>
  <c r="G62" i="20"/>
  <c r="F62" i="20"/>
  <c r="G243" i="20"/>
  <c r="F243" i="20"/>
  <c r="E303" i="20"/>
  <c r="E77" i="20" l="1"/>
  <c r="F79" i="20"/>
  <c r="G79" i="20"/>
  <c r="G303" i="20"/>
  <c r="F303" i="20"/>
  <c r="E242" i="20"/>
  <c r="E202" i="20"/>
  <c r="E250" i="20" l="1"/>
  <c r="E252" i="20" s="1"/>
  <c r="F202" i="20"/>
  <c r="G202" i="20"/>
  <c r="G242" i="20"/>
  <c r="F242" i="20"/>
  <c r="G252" i="20" l="1"/>
  <c r="F252" i="20"/>
  <c r="G250" i="20"/>
  <c r="F250" i="20"/>
  <c r="F108" i="20"/>
  <c r="G108" i="20"/>
  <c r="F73" i="20"/>
  <c r="G73" i="20"/>
  <c r="F102" i="20"/>
  <c r="G102" i="20"/>
  <c r="E23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90" i="20"/>
  <c r="E118" i="20" s="1"/>
  <c r="E38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G376" i="20"/>
  <c r="F375" i="20"/>
  <c r="G375" i="20" l="1"/>
  <c r="E374" i="20"/>
  <c r="E373" i="20" l="1"/>
  <c r="G374" i="20"/>
  <c r="F374" i="20"/>
  <c r="G373" i="20" l="1"/>
  <c r="F373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<sst xmlns="http://schemas.openxmlformats.org/spreadsheetml/2006/main" count="2373" uniqueCount="907">
  <si>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</si>
  <si>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</si>
  <si>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</si>
  <si>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</si>
  <si>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</si>
  <si>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</si>
  <si>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</si>
  <si>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</si>
  <si>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</si>
  <si>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</si>
  <si>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</si>
  <si>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</si>
  <si>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</si>
  <si>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</si>
  <si>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</si>
  <si>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</si>
  <si>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</si>
  <si>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</si>
  <si>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</si>
  <si>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</si>
  <si>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</si>
  <si>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</si>
  <si>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</si>
  <si>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</si>
  <si>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</si>
  <si>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</si>
  <si>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</si>
  <si>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</si>
  <si>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</si>
  <si>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</si>
  <si>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</si>
  <si>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</si>
  <si>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</si>
  <si>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</si>
  <si>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</si>
  <si>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</si>
  <si>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</si>
  <si>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</si>
  <si>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</si>
  <si>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</si>
  <si>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</si>
  <si>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</si>
  <si>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</si>
  <si>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</si>
  <si>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</si>
  <si>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</si>
  <si>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</si>
  <si>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</si>
  <si>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</si>
  <si>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</si>
  <si>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</si>
  <si>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</si>
  <si>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</si>
  <si>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</si>
  <si>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</si>
  <si>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</si>
  <si>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</si>
  <si>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</si>
  <si>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</si>
  <si>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</si>
  <si>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</si>
  <si>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</si>
  <si>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</si>
  <si>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</si>
  <si>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</si>
  <si>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</si>
  <si>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</si>
  <si>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</si>
  <si>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</si>
  <si>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</si>
  <si>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</si>
  <si>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</si>
  <si>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</si>
  <si>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</si>
  <si>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</si>
  <si>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</si>
  <si>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</si>
  <si>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</si>
  <si>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</si>
  <si>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</si>
  <si>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</si>
  <si>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</si>
  <si>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</si>
  <si>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</si>
  <si>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</si>
  <si>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</si>
  <si>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</si>
  <si>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</si>
  <si>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</si>
  <si>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</si>
  <si>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</si>
  <si>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</si>
  <si>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</si>
  <si>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</si>
  <si>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</si>
  <si>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</si>
  <si>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</si>
  <si>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</si>
  <si>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</si>
  <si>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</si>
  <si>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</si>
  <si>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</si>
  <si>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</si>
  <si>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</si>
  <si>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</si>
  <si>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</si>
  <si>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</si>
  <si>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</si>
  <si>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</si>
  <si>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</si>
  <si>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</si>
  <si>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</si>
  <si>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</si>
  <si>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</si>
  <si>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</si>
  <si>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</si>
  <si>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</si>
  <si>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</si>
  <si>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</si>
  <si>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</si>
  <si>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</si>
  <si>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</si>
  <si>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</si>
  <si>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</si>
  <si>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</si>
  <si>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</si>
  <si>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</si>
  <si>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</si>
  <si>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</si>
  <si>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</si>
  <si>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</si>
  <si>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</si>
  <si>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</si>
  <si>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</si>
  <si>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</si>
  <si>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</si>
  <si>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</si>
  <si>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</si>
  <si>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</si>
  <si>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</si>
  <si>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</si>
  <si>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</si>
  <si>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</si>
  <si>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</si>
  <si>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</si>
  <si>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</si>
  <si>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</si>
  <si>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</si>
  <si>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</si>
  <si>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</si>
  <si>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</si>
  <si>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</si>
  <si>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</si>
  <si>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</si>
  <si>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</si>
  <si>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</si>
  <si>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</si>
  <si>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</si>
  <si>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</si>
  <si>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</si>
  <si>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</si>
  <si>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</si>
  <si>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</si>
  <si>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</si>
  <si>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</si>
  <si>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</si>
  <si>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</si>
  <si>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</si>
  <si>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</si>
  <si>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</si>
  <si>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</si>
  <si>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</si>
  <si>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</si>
  <si>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</si>
  <si>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</si>
  <si>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</si>
  <si>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</si>
  <si>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</si>
  <si>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</si>
  <si>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</si>
  <si>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</si>
  <si>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</si>
  <si>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</si>
  <si>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</si>
  <si>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</si>
  <si>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</si>
  <si>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</si>
  <si>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</si>
  <si>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</si>
  <si>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</si>
  <si>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</si>
  <si>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</si>
  <si>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</si>
  <si>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</si>
  <si>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</si>
  <si>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</si>
  <si>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</si>
  <si>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</si>
  <si>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</si>
  <si>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</si>
  <si>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</si>
  <si>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</si>
  <si>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</si>
  <si>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</si>
  <si>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</si>
  <si>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</si>
  <si>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</si>
  <si>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</si>
  <si>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</si>
  <si>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</si>
  <si>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</si>
  <si>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</si>
  <si>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</si>
  <si>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</si>
  <si>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</si>
  <si>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</si>
  <si>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</si>
  <si>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</si>
  <si>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</si>
  <si>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</si>
  <si>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</si>
  <si>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</si>
  <si>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</si>
  <si>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</si>
  <si>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</si>
  <si>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</si>
  <si>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</si>
  <si>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</si>
  <si>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</si>
  <si>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</si>
  <si>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</si>
  <si>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</si>
  <si>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</si>
  <si>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</si>
  <si>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</si>
  <si>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</si>
  <si>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</si>
  <si>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</si>
  <si>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</si>
  <si>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</si>
  <si>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</si>
  <si>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</si>
  <si>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</si>
  <si>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</si>
  <si>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</si>
  <si>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</si>
  <si>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</si>
  <si>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</si>
  <si>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</si>
  <si>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</si>
  <si>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</si>
  <si>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</si>
  <si>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</si>
  <si>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</si>
  <si>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</si>
  <si>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</si>
  <si>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</si>
  <si>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</si>
  <si>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</si>
  <si>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</si>
  <si>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</si>
  <si>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</si>
  <si>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</si>
  <si>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</si>
  <si>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</si>
  <si>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</si>
  <si>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</si>
  <si>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</si>
  <si>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</si>
  <si>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</si>
  <si>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</si>
  <si>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</si>
  <si>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</si>
  <si>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</si>
  <si>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</si>
  <si>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</si>
  <si>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</si>
  <si>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</si>
  <si>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</si>
  <si>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</si>
  <si>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</si>
  <si>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</si>
  <si>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</si>
  <si>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</si>
  <si>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</si>
  <si>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</si>
  <si>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</si>
  <si>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</si>
  <si>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</si>
  <si>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</si>
  <si>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</si>
  <si>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</si>
  <si>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</si>
  <si>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</si>
  <si>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</si>
  <si>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</si>
  <si>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</si>
  <si>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</si>
  <si>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</si>
  <si>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</si>
  <si>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</si>
  <si>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</si>
  <si>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</si>
  <si>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</si>
  <si>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</si>
  <si>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</si>
  <si>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</si>
  <si>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</si>
  <si>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</si>
  <si>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</si>
  <si>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</si>
  <si>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</si>
  <si>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</si>
  <si>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</si>
  <si>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</si>
  <si>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</si>
  <si>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</si>
  <si>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</si>
  <si>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</si>
  <si>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</si>
  <si>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</si>
  <si>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</si>
  <si>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</si>
  <si>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</si>
  <si>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</si>
  <si>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</si>
  <si>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</si>
  <si>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</si>
  <si>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</si>
  <si>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</si>
  <si>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</si>
  <si>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</si>
  <si>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</si>
  <si>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</si>
  <si>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</si>
  <si>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</si>
  <si>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</si>
  <si>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</si>
  <si>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</si>
  <si>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</si>
  <si>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</si>
  <si>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</si>
  <si>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</si>
  <si>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</si>
  <si>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</si>
  <si>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</si>
  <si>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</si>
  <si>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</si>
  <si>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</si>
  <si>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</si>
  <si>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</si>
  <si>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</si>
  <si>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</si>
  <si>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</si>
  <si>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</si>
  <si>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</si>
  <si>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</si>
  <si>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</si>
  <si>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</si>
  <si>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</si>
  <si>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</si>
  <si>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</si>
  <si>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</si>
  <si>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</si>
  <si>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</si>
  <si>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</si>
  <si>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</si>
  <si>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</si>
  <si>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</si>
  <si>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</si>
  <si>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</si>
  <si>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</si>
  <si>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</si>
  <si>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</si>
  <si>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</si>
  <si>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</si>
  <si>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</si>
  <si>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</si>
  <si>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</si>
  <si>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</si>
  <si>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</si>
  <si>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</si>
  <si>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</si>
  <si>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</si>
  <si>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</si>
  <si>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</si>
  <si>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</si>
  <si>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</si>
  <si>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</si>
  <si>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</si>
  <si>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</si>
  <si>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</si>
  <si>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</si>
  <si>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</si>
  <si>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</si>
  <si>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</si>
  <si>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</si>
  <si>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</si>
  <si>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</si>
  <si>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</si>
  <si>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</si>
  <si>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</si>
  <si>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</si>
  <si>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</si>
  <si>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</si>
  <si>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</si>
  <si>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</si>
  <si>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</si>
  <si>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</si>
  <si>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</si>
  <si>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</si>
  <si>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</si>
  <si>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</si>
  <si>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</si>
  <si>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</si>
  <si>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</si>
  <si>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</si>
  <si>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</si>
  <si>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</si>
  <si>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</si>
  <si>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</si>
  <si>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</si>
  <si>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</si>
  <si>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</si>
  <si>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</si>
  <si>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</si>
  <si>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</si>
  <si>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</si>
  <si>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</si>
  <si>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</si>
  <si>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</si>
  <si>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</si>
  <si>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</si>
  <si>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</si>
  <si>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</si>
  <si>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</si>
  <si>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</si>
  <si>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</si>
  <si>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</si>
  <si>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</si>
  <si>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</si>
  <si>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</si>
  <si>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</si>
  <si>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</si>
  <si>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</si>
  <si>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</si>
  <si>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</si>
  <si>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</si>
  <si>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</si>
  <si>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</si>
  <si>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</si>
  <si>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</si>
  <si>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</si>
  <si>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</si>
  <si>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</si>
  <si>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</si>
  <si>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</si>
  <si>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</si>
  <si>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</si>
  <si>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</si>
  <si>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</si>
  <si>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</si>
  <si>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</si>
  <si>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</si>
  <si>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</si>
  <si>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</si>
  <si>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</si>
  <si>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</si>
  <si>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</si>
  <si>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</si>
  <si>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</si>
  <si>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</si>
  <si>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</si>
  <si>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</si>
  <si>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</si>
  <si>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</si>
  <si>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</si>
  <si>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</si>
  <si>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</si>
  <si>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</si>
  <si>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</si>
  <si>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</si>
  <si>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</si>
  <si>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</si>
  <si>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</si>
  <si>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</si>
  <si>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</si>
  <si>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</si>
  <si>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</si>
  <si>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</si>
  <si>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</si>
  <si>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</si>
  <si>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</si>
  <si>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</si>
  <si>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</si>
  <si>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</si>
  <si>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</si>
  <si>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</si>
  <si>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</si>
  <si>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</si>
  <si>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</si>
  <si>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</si>
  <si>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</si>
  <si>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</si>
  <si>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</si>
  <si>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</si>
  <si>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</si>
  <si>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</si>
  <si>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</si>
  <si>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</si>
  <si>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</si>
  <si>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</si>
  <si>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</si>
  <si>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</si>
  <si>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</si>
  <si>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</si>
  <si>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</si>
  <si>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</si>
  <si>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</si>
  <si>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</si>
  <si>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</si>
  <si>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</si>
  <si>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</si>
  <si>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</si>
  <si>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</si>
  <si>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</si>
  <si>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</si>
  <si>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</si>
  <si>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</si>
  <si>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</si>
  <si>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</si>
  <si>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</si>
  <si>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</si>
  <si>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</si>
  <si>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</si>
  <si>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</si>
  <si>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</si>
  <si>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</si>
  <si>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</si>
  <si>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</si>
  <si>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</si>
  <si>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</si>
  <si>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</si>
  <si>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</si>
  <si>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</si>
  <si>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</si>
  <si>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</si>
  <si>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</si>
  <si>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</si>
  <si>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</si>
  <si>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</si>
  <si>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</si>
  <si>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</si>
  <si>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</si>
  <si>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</si>
  <si>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</si>
  <si>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</si>
  <si>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</si>
  <si>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</si>
  <si>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</si>
  <si>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</si>
  <si>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</si>
  <si>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</si>
  <si>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</si>
  <si>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</si>
  <si>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</si>
  <si>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</si>
  <si>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</si>
  <si>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</si>
  <si>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</si>
  <si>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</si>
  <si>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</si>
  <si>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</si>
  <si>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</si>
  <si>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</si>
  <si>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</si>
  <si>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</si>
  <si>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</si>
  <si>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</si>
  <si>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</si>
  <si>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</si>
  <si>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</si>
  <si>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</si>
  <si>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</si>
  <si>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</si>
  <si>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</si>
  <si>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</si>
  <si>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</si>
  <si>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</si>
  <si>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</si>
  <si>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</si>
  <si>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</si>
  <si>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</si>
  <si>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</si>
  <si>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</si>
  <si>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</si>
  <si>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</si>
  <si>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</si>
  <si>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</si>
  <si>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</si>
  <si>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</si>
  <si>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</si>
  <si>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</si>
  <si>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</si>
  <si>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</si>
  <si>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</si>
  <si>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</si>
  <si>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</si>
  <si>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</si>
  <si>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</si>
  <si>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</si>
  <si>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</si>
  <si>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</si>
  <si>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</si>
  <si>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</si>
  <si>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</si>
  <si>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</si>
  <si>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</si>
  <si>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</si>
  <si>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</si>
  <si>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</si>
  <si>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</si>
  <si>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</si>
  <si>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</si>
  <si>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</si>
  <si>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</si>
  <si>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</si>
  <si>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</si>
  <si>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</si>
  <si>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</si>
  <si>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</si>
  <si>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</si>
  <si>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</si>
  <si>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</si>
  <si>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</si>
  <si>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</si>
  <si>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</si>
  <si>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</si>
  <si>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</si>
  <si>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</si>
  <si>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</si>
  <si>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</si>
  <si>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</si>
  <si>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</si>
  <si>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</si>
  <si>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</si>
  <si>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</si>
  <si>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</si>
  <si>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</si>
  <si>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</si>
  <si>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</si>
  <si>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</si>
  <si>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</si>
  <si>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</si>
  <si>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</si>
  <si>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</si>
  <si>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</si>
  <si>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</si>
  <si>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</si>
  <si>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</si>
  <si>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</si>
  <si>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</si>
  <si>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</si>
  <si>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</si>
  <si>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</si>
  <si>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</si>
  <si>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</si>
  <si>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</si>
  <si>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</si>
  <si>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</si>
  <si>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</si>
  <si>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</si>
  <si>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</si>
  <si>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</si>
  <si>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</si>
  <si>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</si>
  <si>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</si>
  <si>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</si>
  <si>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</si>
  <si>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</si>
  <si>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</si>
  <si>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</si>
  <si>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</si>
  <si>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</si>
  <si>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</si>
  <si>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</si>
  <si>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</si>
  <si>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</si>
  <si>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</si>
  <si>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</si>
  <si>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</si>
  <si>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</si>
  <si>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</si>
  <si>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</si>
  <si>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</si>
  <si>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</si>
  <si>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</si>
  <si>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</si>
  <si>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</si>
  <si>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</si>
  <si>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</si>
  <si>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</si>
  <si>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</si>
  <si>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</si>
  <si>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</si>
  <si>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</si>
  <si>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</si>
  <si>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</si>
  <si>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</si>
  <si>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</si>
  <si>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</si>
  <si>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</si>
  <si>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</si>
  <si>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</si>
  <si>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</si>
  <si>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</si>
  <si>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</si>
  <si>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</si>
  <si>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</si>
  <si>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</si>
  <si>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</si>
  <si>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</si>
  <si>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</si>
  <si>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</si>
  <si>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</si>
  <si>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</si>
  <si>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</si>
  <si>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</si>
  <si>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</si>
  <si>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</si>
  <si>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</si>
  <si>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</si>
  <si>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</si>
  <si>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</si>
  <si>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</si>
  <si>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</si>
  <si>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</si>
  <si>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</si>
  <si>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</si>
  <si>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</si>
  <si>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</si>
  <si>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</si>
  <si>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</si>
  <si>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</si>
  <si>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</si>
  <si>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</si>
  <si>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</si>
  <si>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</si>
  <si>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</si>
  <si>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</si>
  <si>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</si>
  <si>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</si>
  <si>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</si>
  <si>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</si>
  <si>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</si>
  <si>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</si>
  <si>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</si>
  <si>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</si>
  <si>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</si>
  <si>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</si>
  <si>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</si>
  <si>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</si>
  <si>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</si>
  <si>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</si>
  <si>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</si>
  <si>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</si>
  <si>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</si>
  <si>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</si>
  <si>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</si>
  <si>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</si>
  <si>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</si>
  <si>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</si>
  <si>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</si>
  <si>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</si>
  <si>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</si>
  <si>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</si>
  <si>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</si>
  <si>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</si>
  <si>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</si>
  <si>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</si>
  <si>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</si>
  <si>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</si>
  <si>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</si>
  <si>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</si>
  <si>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</si>
  <si>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</si>
  <si>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</si>
  <si>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</si>
  <si>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</si>
  <si>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</si>
  <si>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</si>
  <si>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</si>
  <si>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</si>
  <si>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</si>
  <si>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</si>
  <si>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</si>
  <si>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</si>
  <si>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</si>
  <si>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</si>
  <si>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</si>
  <si>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</si>
  <si>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</si>
  <si>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</si>
  <si>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</si>
  <si>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</si>
  <si>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</si>
  <si>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</si>
  <si>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</si>
  <si>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</si>
  <si>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</si>
  <si>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</si>
  <si>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</si>
  <si>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</si>
  <si>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</si>
  <si>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</si>
  <si>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</si>
  <si>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</si>
  <si>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</si>
  <si>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</si>
  <si>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</si>
  <si>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</si>
  <si>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</si>
  <si>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</si>
  <si>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</si>
  <si>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</si>
  <si>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</si>
  <si>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</si>
  <si>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</si>
  <si>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</si>
  <si>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</si>
  <si>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</si>
  <si>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</si>
  <si>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</si>
  <si>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</si>
  <si>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</si>
  <si>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</si>
  <si>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</si>
  <si>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</si>
  <si>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</si>
  <si>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</si>
  <si>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</si>
  <si>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</si>
  <si>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</si>
  <si>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</si>
  <si>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</si>
  <si>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</si>
  <si>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</si>
  <si>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</si>
  <si>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</si>
  <si>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</si>
  <si>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</si>
  <si>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</si>
  <si>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</si>
  <si>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</si>
  <si>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</si>
  <si>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</si>
  <si>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</si>
  <si>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</si>
  <si>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</si>
  <si>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</si>
  <si>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</si>
  <si>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</si>
  <si>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</si>
  <si>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</si>
  <si>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</si>
  <si>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</si>
  <si>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</si>
  <si>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</si>
  <si>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</si>
  <si>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</si>
  <si>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</si>
  <si>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</si>
  <si>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</si>
  <si>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</si>
  <si>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</si>
  <si>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</si>
  <si>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</si>
  <si>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</si>
  <si>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</si>
  <si>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</si>
  <si>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</si>
  <si>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</si>
  <si>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</si>
  <si>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</si>
  <si>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</si>
  <si>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</si>
  <si>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</si>
  <si>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</si>
  <si>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</si>
  <si>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</si>
  <si>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</si>
  <si>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</si>
  <si>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</si>
  <si>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</si>
  <si>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</si>
  <si>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</si>
  <si>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</si>
  <si>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</si>
  <si>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</si>
  <si>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</si>
  <si>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</si>
  <si>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</si>
  <si>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</si>
  <si>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</si>
  <si>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Ожидаемый факт</t>
  </si>
  <si>
    <t>Год раскрытия (предоставления) информации: 2022 год</t>
  </si>
  <si>
    <t>Отчетный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</si>
</sst>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164" fontId="9" fillId="0" borderId="46" xfId="57" applyNumberFormat="1" applyFont="1" applyFill="1" applyBorder="1" applyAlignment="1">
      <alignment horizontal="left" vertical="center" wrapText="1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41" fontId="9" fillId="0" borderId="10" xfId="626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 wrapText="1"/>
    </xf>
    <xf numFmtId="43" fontId="9" fillId="0" borderId="10" xfId="0" applyNumberFormat="1" applyFont="1" applyFill="1" applyBorder="1" applyAlignment="1">
      <alignment vertical="center" wrapText="1"/>
    </xf>
    <xf numFmtId="43" fontId="9" fillId="0" borderId="18" xfId="57" applyNumberFormat="1" applyFont="1" applyFill="1" applyBorder="1" applyAlignment="1">
      <alignment horizontal="center" vertical="center"/>
    </xf>
    <xf numFmtId="43" fontId="9" fillId="0" borderId="47" xfId="57" applyNumberFormat="1" applyFont="1" applyFill="1" applyBorder="1" applyAlignment="1">
      <alignment horizontal="center" vertical="center"/>
    </xf>
    <xf numFmtId="43" fontId="9" fillId="0" borderId="29" xfId="57" applyNumberFormat="1" applyFont="1" applyFill="1" applyBorder="1" applyAlignment="1">
      <alignment horizontal="center" vertical="center"/>
    </xf>
    <xf numFmtId="43" fontId="9" fillId="0" borderId="54" xfId="57" applyNumberFormat="1" applyFont="1" applyFill="1" applyBorder="1" applyAlignment="1">
      <alignment horizontal="center" vertical="center"/>
    </xf>
    <xf numFmtId="43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43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43" fontId="9" fillId="24" borderId="0" xfId="57" applyNumberFormat="1" applyFont="1" applyFill="1"/>
    <xf numFmtId="169" fontId="9" fillId="0" borderId="15" xfId="57" applyNumberFormat="1" applyFont="1" applyFill="1" applyBorder="1" applyAlignment="1">
      <alignment horizontal="center" vertical="center"/>
    </xf>
    <xf numFmtId="169" fontId="9" fillId="0" borderId="11" xfId="0" applyNumberFormat="1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43" fontId="9" fillId="0" borderId="12" xfId="0" applyNumberFormat="1" applyFont="1" applyFill="1" applyBorder="1" applyAlignment="1">
      <alignment horizontal="center" vertical="center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7" t="s">
        <v>836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64"/>
      <c r="V4" s="64"/>
    </row>
    <row r="5" spans="1:23" s="5" customFormat="1" ht="18.75" customHeight="1" x14ac:dyDescent="0.3">
      <c r="A5" s="268" t="s">
        <v>868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68" t="s">
        <v>872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61"/>
      <c r="V7" s="61"/>
    </row>
    <row r="8" spans="1:23" x14ac:dyDescent="0.25">
      <c r="A8" s="269" t="s">
        <v>55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70" t="s">
        <v>873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65"/>
      <c r="V10" s="65"/>
    </row>
    <row r="11" spans="1:23" ht="18.75" x14ac:dyDescent="0.3">
      <c r="V11" s="16"/>
    </row>
    <row r="12" spans="1:23" ht="18.75" x14ac:dyDescent="0.25">
      <c r="A12" s="271" t="s">
        <v>899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66"/>
      <c r="V12" s="66"/>
    </row>
    <row r="13" spans="1:23" x14ac:dyDescent="0.25">
      <c r="A13" s="269" t="s">
        <v>135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11"/>
      <c r="V13" s="11"/>
    </row>
    <row r="14" spans="1:23" ht="18.75" x14ac:dyDescent="0.3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64"/>
      <c r="V14" s="64"/>
    </row>
    <row r="15" spans="1:23" ht="84.75" customHeight="1" x14ac:dyDescent="0.25">
      <c r="A15" s="278" t="s">
        <v>52</v>
      </c>
      <c r="B15" s="278" t="s">
        <v>17</v>
      </c>
      <c r="C15" s="278" t="s">
        <v>5</v>
      </c>
      <c r="D15" s="272" t="s">
        <v>847</v>
      </c>
      <c r="E15" s="272" t="s">
        <v>874</v>
      </c>
      <c r="F15" s="272" t="s">
        <v>875</v>
      </c>
      <c r="G15" s="275" t="s">
        <v>876</v>
      </c>
      <c r="H15" s="277"/>
      <c r="I15" s="277"/>
      <c r="J15" s="277"/>
      <c r="K15" s="277"/>
      <c r="L15" s="277"/>
      <c r="M15" s="277"/>
      <c r="N15" s="277"/>
      <c r="O15" s="277"/>
      <c r="P15" s="276"/>
      <c r="Q15" s="272" t="s">
        <v>848</v>
      </c>
      <c r="R15" s="278" t="s">
        <v>829</v>
      </c>
      <c r="S15" s="278"/>
      <c r="T15" s="278" t="s">
        <v>7</v>
      </c>
      <c r="U15" s="5"/>
      <c r="V15" s="5"/>
    </row>
    <row r="16" spans="1:23" ht="69" customHeight="1" x14ac:dyDescent="0.25">
      <c r="A16" s="278"/>
      <c r="B16" s="278"/>
      <c r="C16" s="278"/>
      <c r="D16" s="273"/>
      <c r="E16" s="273"/>
      <c r="F16" s="273"/>
      <c r="G16" s="275" t="s">
        <v>47</v>
      </c>
      <c r="H16" s="276"/>
      <c r="I16" s="275" t="s">
        <v>56</v>
      </c>
      <c r="J16" s="276"/>
      <c r="K16" s="275" t="s">
        <v>57</v>
      </c>
      <c r="L16" s="276"/>
      <c r="M16" s="275" t="s">
        <v>58</v>
      </c>
      <c r="N16" s="276"/>
      <c r="O16" s="275" t="s">
        <v>59</v>
      </c>
      <c r="P16" s="276"/>
      <c r="Q16" s="273"/>
      <c r="R16" s="278" t="s">
        <v>849</v>
      </c>
      <c r="S16" s="278" t="s">
        <v>8</v>
      </c>
      <c r="T16" s="278"/>
    </row>
    <row r="17" spans="1:22" ht="32.25" customHeight="1" x14ac:dyDescent="0.25">
      <c r="A17" s="278"/>
      <c r="B17" s="278"/>
      <c r="C17" s="278"/>
      <c r="D17" s="274"/>
      <c r="E17" s="274"/>
      <c r="F17" s="274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4"/>
      <c r="R17" s="278"/>
      <c r="S17" s="278"/>
      <c r="T17" s="278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75" t="s">
        <v>145</v>
      </c>
      <c r="B21" s="277"/>
      <c r="C21" s="276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89" t="s">
        <v>853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120"/>
      <c r="Z4" s="120"/>
      <c r="AA4" s="120"/>
      <c r="AB4" s="120"/>
      <c r="AC4" s="120"/>
    </row>
    <row r="5" spans="1:30" s="19" customFormat="1" ht="18.75" customHeight="1" x14ac:dyDescent="0.25">
      <c r="A5" s="290" t="s">
        <v>868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0" t="s">
        <v>872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121"/>
      <c r="Z7" s="121"/>
      <c r="AA7" s="121"/>
      <c r="AB7" s="121"/>
      <c r="AC7" s="121"/>
    </row>
    <row r="8" spans="1:30" x14ac:dyDescent="0.25">
      <c r="A8" s="281" t="s">
        <v>55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1" t="s">
        <v>873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123"/>
      <c r="Z10" s="123"/>
      <c r="AA10" s="123"/>
      <c r="AB10" s="123"/>
      <c r="AC10" s="123"/>
    </row>
    <row r="11" spans="1:30" x14ac:dyDescent="0.25">
      <c r="A11" s="280"/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AC11" s="119"/>
    </row>
    <row r="12" spans="1:30" x14ac:dyDescent="0.25">
      <c r="A12" s="2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0"/>
      <c r="Z12" s="20"/>
      <c r="AA12" s="20"/>
      <c r="AB12" s="124"/>
      <c r="AC12" s="124"/>
    </row>
    <row r="13" spans="1:30" x14ac:dyDescent="0.25">
      <c r="A13" s="281" t="s">
        <v>147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0"/>
      <c r="Z13" s="20"/>
      <c r="AA13" s="20"/>
      <c r="AB13" s="20"/>
      <c r="AC13" s="20"/>
    </row>
    <row r="14" spans="1:30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</row>
    <row r="15" spans="1:30" ht="30.75" customHeight="1" x14ac:dyDescent="0.25">
      <c r="A15" s="283" t="s">
        <v>52</v>
      </c>
      <c r="B15" s="283" t="s">
        <v>17</v>
      </c>
      <c r="C15" s="272" t="s">
        <v>5</v>
      </c>
      <c r="D15" s="283" t="s">
        <v>850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 t="s">
        <v>829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 t="s">
        <v>7</v>
      </c>
    </row>
    <row r="16" spans="1:30" ht="30.75" customHeight="1" x14ac:dyDescent="0.25">
      <c r="A16" s="283"/>
      <c r="B16" s="283"/>
      <c r="C16" s="273"/>
      <c r="D16" s="283" t="s">
        <v>877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42.75" customHeight="1" x14ac:dyDescent="0.25">
      <c r="A17" s="283"/>
      <c r="B17" s="283"/>
      <c r="C17" s="273"/>
      <c r="D17" s="283" t="s">
        <v>9</v>
      </c>
      <c r="E17" s="283"/>
      <c r="F17" s="283"/>
      <c r="G17" s="283"/>
      <c r="H17" s="283"/>
      <c r="I17" s="283" t="s">
        <v>10</v>
      </c>
      <c r="J17" s="283"/>
      <c r="K17" s="283"/>
      <c r="L17" s="283"/>
      <c r="M17" s="283"/>
      <c r="N17" s="284" t="s">
        <v>20</v>
      </c>
      <c r="O17" s="284"/>
      <c r="P17" s="284" t="s">
        <v>14</v>
      </c>
      <c r="Q17" s="284"/>
      <c r="R17" s="295" t="s">
        <v>51</v>
      </c>
      <c r="S17" s="295"/>
      <c r="T17" s="284" t="s">
        <v>53</v>
      </c>
      <c r="U17" s="284"/>
      <c r="V17" s="284" t="s">
        <v>15</v>
      </c>
      <c r="W17" s="284"/>
      <c r="X17" s="283"/>
    </row>
    <row r="18" spans="1:24" ht="143.25" customHeight="1" x14ac:dyDescent="0.25">
      <c r="A18" s="283"/>
      <c r="B18" s="283"/>
      <c r="C18" s="273"/>
      <c r="D18" s="285" t="s">
        <v>20</v>
      </c>
      <c r="E18" s="285" t="s">
        <v>14</v>
      </c>
      <c r="F18" s="287" t="s">
        <v>51</v>
      </c>
      <c r="G18" s="285" t="s">
        <v>53</v>
      </c>
      <c r="H18" s="285" t="s">
        <v>15</v>
      </c>
      <c r="I18" s="285" t="s">
        <v>16</v>
      </c>
      <c r="J18" s="285" t="s">
        <v>14</v>
      </c>
      <c r="K18" s="287" t="s">
        <v>51</v>
      </c>
      <c r="L18" s="285" t="s">
        <v>53</v>
      </c>
      <c r="M18" s="285" t="s">
        <v>15</v>
      </c>
      <c r="N18" s="284"/>
      <c r="O18" s="284"/>
      <c r="P18" s="284"/>
      <c r="Q18" s="284"/>
      <c r="R18" s="295"/>
      <c r="S18" s="295"/>
      <c r="T18" s="284"/>
      <c r="U18" s="284"/>
      <c r="V18" s="284"/>
      <c r="W18" s="284"/>
      <c r="X18" s="283"/>
    </row>
    <row r="19" spans="1:24" ht="47.25" x14ac:dyDescent="0.25">
      <c r="A19" s="283"/>
      <c r="B19" s="283"/>
      <c r="C19" s="274"/>
      <c r="D19" s="286"/>
      <c r="E19" s="286"/>
      <c r="F19" s="288"/>
      <c r="G19" s="286"/>
      <c r="H19" s="286"/>
      <c r="I19" s="286"/>
      <c r="J19" s="286"/>
      <c r="K19" s="288"/>
      <c r="L19" s="286"/>
      <c r="M19" s="286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3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92" t="s">
        <v>145</v>
      </c>
      <c r="B23" s="293"/>
      <c r="C23" s="294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89" t="s">
        <v>837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120"/>
      <c r="X4" s="120"/>
      <c r="Y4" s="120"/>
      <c r="Z4" s="120"/>
      <c r="AA4" s="120"/>
    </row>
    <row r="5" spans="1:28" s="19" customFormat="1" ht="18.75" customHeight="1" x14ac:dyDescent="0.25">
      <c r="A5" s="290" t="s">
        <v>868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0" t="s">
        <v>872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121"/>
      <c r="X7" s="121"/>
      <c r="Y7" s="121"/>
      <c r="Z7" s="121"/>
      <c r="AA7" s="121"/>
    </row>
    <row r="8" spans="1:28" x14ac:dyDescent="0.25">
      <c r="A8" s="281" t="s">
        <v>60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1" t="s">
        <v>873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0"/>
      <c r="X12" s="20"/>
      <c r="Y12" s="20"/>
      <c r="Z12" s="124"/>
      <c r="AA12" s="124"/>
    </row>
    <row r="13" spans="1:28" x14ac:dyDescent="0.25">
      <c r="A13" s="281" t="s">
        <v>54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0"/>
      <c r="X13" s="20"/>
      <c r="Y13" s="20"/>
      <c r="Z13" s="20"/>
      <c r="AA13" s="20"/>
    </row>
    <row r="14" spans="1:28" ht="26.25" customHeight="1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78"/>
      <c r="X14" s="78"/>
      <c r="Y14" s="78"/>
      <c r="Z14" s="78"/>
    </row>
    <row r="15" spans="1:28" ht="130.5" customHeight="1" x14ac:dyDescent="0.25">
      <c r="A15" s="272" t="s">
        <v>52</v>
      </c>
      <c r="B15" s="283" t="s">
        <v>17</v>
      </c>
      <c r="C15" s="283" t="s">
        <v>5</v>
      </c>
      <c r="D15" s="272" t="s">
        <v>844</v>
      </c>
      <c r="E15" s="272" t="s">
        <v>879</v>
      </c>
      <c r="F15" s="283" t="s">
        <v>865</v>
      </c>
      <c r="G15" s="283"/>
      <c r="H15" s="292" t="s">
        <v>864</v>
      </c>
      <c r="I15" s="293"/>
      <c r="J15" s="293"/>
      <c r="K15" s="293"/>
      <c r="L15" s="293"/>
      <c r="M15" s="293"/>
      <c r="N15" s="293"/>
      <c r="O15" s="293"/>
      <c r="P15" s="293"/>
      <c r="Q15" s="294"/>
      <c r="R15" s="283" t="s">
        <v>851</v>
      </c>
      <c r="S15" s="283"/>
      <c r="T15" s="296" t="s">
        <v>830</v>
      </c>
      <c r="U15" s="297"/>
      <c r="V15" s="272" t="s">
        <v>7</v>
      </c>
    </row>
    <row r="16" spans="1:28" ht="35.25" customHeight="1" x14ac:dyDescent="0.25">
      <c r="A16" s="273"/>
      <c r="B16" s="283"/>
      <c r="C16" s="283"/>
      <c r="D16" s="273"/>
      <c r="E16" s="273"/>
      <c r="F16" s="284" t="s">
        <v>4</v>
      </c>
      <c r="G16" s="284" t="s">
        <v>13</v>
      </c>
      <c r="H16" s="283" t="s">
        <v>12</v>
      </c>
      <c r="I16" s="283"/>
      <c r="J16" s="283" t="s">
        <v>56</v>
      </c>
      <c r="K16" s="283"/>
      <c r="L16" s="283" t="s">
        <v>878</v>
      </c>
      <c r="M16" s="283"/>
      <c r="N16" s="296" t="s">
        <v>58</v>
      </c>
      <c r="O16" s="297"/>
      <c r="P16" s="296" t="s">
        <v>59</v>
      </c>
      <c r="Q16" s="297"/>
      <c r="R16" s="284" t="s">
        <v>4</v>
      </c>
      <c r="S16" s="284" t="s">
        <v>13</v>
      </c>
      <c r="T16" s="300"/>
      <c r="U16" s="301"/>
      <c r="V16" s="273"/>
    </row>
    <row r="17" spans="1:22" ht="35.25" customHeight="1" x14ac:dyDescent="0.25">
      <c r="A17" s="273"/>
      <c r="B17" s="283"/>
      <c r="C17" s="283"/>
      <c r="D17" s="273"/>
      <c r="E17" s="273"/>
      <c r="F17" s="284"/>
      <c r="G17" s="284"/>
      <c r="H17" s="283"/>
      <c r="I17" s="283"/>
      <c r="J17" s="283"/>
      <c r="K17" s="283"/>
      <c r="L17" s="283"/>
      <c r="M17" s="283"/>
      <c r="N17" s="298"/>
      <c r="O17" s="299"/>
      <c r="P17" s="298"/>
      <c r="Q17" s="299"/>
      <c r="R17" s="284"/>
      <c r="S17" s="284"/>
      <c r="T17" s="298"/>
      <c r="U17" s="299"/>
      <c r="V17" s="273"/>
    </row>
    <row r="18" spans="1:22" ht="65.25" customHeight="1" x14ac:dyDescent="0.25">
      <c r="A18" s="274"/>
      <c r="B18" s="283"/>
      <c r="C18" s="283"/>
      <c r="D18" s="274"/>
      <c r="E18" s="274"/>
      <c r="F18" s="284"/>
      <c r="G18" s="284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4"/>
      <c r="S18" s="284"/>
      <c r="T18" s="112" t="s">
        <v>845</v>
      </c>
      <c r="U18" s="112" t="s">
        <v>8</v>
      </c>
      <c r="V18" s="274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92" t="s">
        <v>145</v>
      </c>
      <c r="B21" s="293"/>
      <c r="C21" s="294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3" t="s">
        <v>838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</row>
    <row r="5" spans="1:82" s="5" customFormat="1" ht="18.75" customHeight="1" x14ac:dyDescent="0.3">
      <c r="A5" s="268" t="s">
        <v>863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68" t="s">
        <v>861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</row>
    <row r="8" spans="1:82" ht="15.75" customHeight="1" x14ac:dyDescent="0.25">
      <c r="A8" s="302" t="s">
        <v>62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302"/>
      <c r="Z8" s="302"/>
      <c r="AA8" s="302"/>
      <c r="AB8" s="302"/>
      <c r="AC8" s="302"/>
      <c r="AD8" s="302"/>
      <c r="AE8" s="302"/>
      <c r="AF8" s="302"/>
      <c r="AG8" s="302"/>
      <c r="AH8" s="302"/>
      <c r="AI8" s="302"/>
      <c r="AJ8" s="302"/>
      <c r="AK8" s="302"/>
      <c r="AL8" s="302"/>
      <c r="AM8" s="302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70" t="s">
        <v>855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</row>
    <row r="11" spans="1:82" ht="18.75" x14ac:dyDescent="0.3">
      <c r="AB11" s="16"/>
    </row>
    <row r="12" spans="1:82" ht="18.75" x14ac:dyDescent="0.25">
      <c r="A12" s="271" t="s">
        <v>862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</row>
    <row r="13" spans="1:82" x14ac:dyDescent="0.25">
      <c r="A13" s="269" t="s">
        <v>54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</row>
    <row r="14" spans="1:82" ht="18.75" x14ac:dyDescent="0.3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16" t="s">
        <v>52</v>
      </c>
      <c r="B15" s="319" t="s">
        <v>17</v>
      </c>
      <c r="C15" s="319" t="s">
        <v>5</v>
      </c>
      <c r="D15" s="316" t="s">
        <v>146</v>
      </c>
      <c r="E15" s="320" t="s">
        <v>835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321"/>
      <c r="AP15" s="321"/>
      <c r="AQ15" s="321"/>
      <c r="AR15" s="321"/>
      <c r="AS15" s="321"/>
      <c r="AT15" s="321"/>
      <c r="AU15" s="321"/>
      <c r="AV15" s="321"/>
      <c r="AW15" s="321"/>
      <c r="AX15" s="321"/>
      <c r="AY15" s="321"/>
      <c r="AZ15" s="321"/>
      <c r="BA15" s="321"/>
      <c r="BB15" s="321"/>
      <c r="BC15" s="321"/>
      <c r="BD15" s="321"/>
      <c r="BE15" s="321"/>
      <c r="BF15" s="321"/>
      <c r="BG15" s="321"/>
      <c r="BH15" s="321"/>
      <c r="BI15" s="321"/>
      <c r="BJ15" s="321"/>
      <c r="BK15" s="321"/>
      <c r="BL15" s="321"/>
      <c r="BM15" s="321"/>
      <c r="BN15" s="321"/>
      <c r="BO15" s="321"/>
      <c r="BP15" s="321"/>
      <c r="BQ15" s="321"/>
      <c r="BR15" s="321"/>
      <c r="BS15" s="321"/>
      <c r="BT15" s="321"/>
      <c r="BU15" s="321"/>
      <c r="BV15" s="322"/>
      <c r="BW15" s="306" t="s">
        <v>831</v>
      </c>
      <c r="BX15" s="307"/>
      <c r="BY15" s="307"/>
      <c r="BZ15" s="307"/>
      <c r="CA15" s="307"/>
      <c r="CB15" s="307"/>
      <c r="CC15" s="308"/>
      <c r="CD15" s="278" t="s">
        <v>63</v>
      </c>
    </row>
    <row r="16" spans="1:82" ht="30" customHeight="1" x14ac:dyDescent="0.25">
      <c r="A16" s="317"/>
      <c r="B16" s="319"/>
      <c r="C16" s="319"/>
      <c r="D16" s="317"/>
      <c r="E16" s="323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  <c r="AP16" s="324"/>
      <c r="AQ16" s="324"/>
      <c r="AR16" s="324"/>
      <c r="AS16" s="324"/>
      <c r="AT16" s="324"/>
      <c r="AU16" s="324"/>
      <c r="AV16" s="324"/>
      <c r="AW16" s="324"/>
      <c r="AX16" s="324"/>
      <c r="AY16" s="324"/>
      <c r="AZ16" s="324"/>
      <c r="BA16" s="324"/>
      <c r="BB16" s="324"/>
      <c r="BC16" s="324"/>
      <c r="BD16" s="324"/>
      <c r="BE16" s="324"/>
      <c r="BF16" s="324"/>
      <c r="BG16" s="324"/>
      <c r="BH16" s="324"/>
      <c r="BI16" s="324"/>
      <c r="BJ16" s="324"/>
      <c r="BK16" s="324"/>
      <c r="BL16" s="324"/>
      <c r="BM16" s="324"/>
      <c r="BN16" s="324"/>
      <c r="BO16" s="324"/>
      <c r="BP16" s="324"/>
      <c r="BQ16" s="324"/>
      <c r="BR16" s="324"/>
      <c r="BS16" s="324"/>
      <c r="BT16" s="324"/>
      <c r="BU16" s="324"/>
      <c r="BV16" s="325"/>
      <c r="BW16" s="309"/>
      <c r="BX16" s="310"/>
      <c r="BY16" s="310"/>
      <c r="BZ16" s="310"/>
      <c r="CA16" s="310"/>
      <c r="CB16" s="310"/>
      <c r="CC16" s="311"/>
      <c r="CD16" s="278"/>
    </row>
    <row r="17" spans="1:82" ht="39" customHeight="1" x14ac:dyDescent="0.25">
      <c r="A17" s="317"/>
      <c r="B17" s="319"/>
      <c r="C17" s="319"/>
      <c r="D17" s="317"/>
      <c r="E17" s="305" t="s">
        <v>9</v>
      </c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 t="s">
        <v>10</v>
      </c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5"/>
      <c r="BF17" s="305"/>
      <c r="BG17" s="305"/>
      <c r="BH17" s="305"/>
      <c r="BI17" s="305"/>
      <c r="BJ17" s="305"/>
      <c r="BK17" s="305"/>
      <c r="BL17" s="305"/>
      <c r="BM17" s="305"/>
      <c r="BN17" s="305"/>
      <c r="BO17" s="305"/>
      <c r="BP17" s="305"/>
      <c r="BQ17" s="305"/>
      <c r="BR17" s="305"/>
      <c r="BS17" s="305"/>
      <c r="BT17" s="305"/>
      <c r="BU17" s="305"/>
      <c r="BV17" s="305"/>
      <c r="BW17" s="309"/>
      <c r="BX17" s="310"/>
      <c r="BY17" s="310"/>
      <c r="BZ17" s="310"/>
      <c r="CA17" s="310"/>
      <c r="CB17" s="310"/>
      <c r="CC17" s="311"/>
      <c r="CD17" s="278"/>
    </row>
    <row r="18" spans="1:82" ht="30" customHeight="1" x14ac:dyDescent="0.25">
      <c r="A18" s="317"/>
      <c r="B18" s="319"/>
      <c r="C18" s="319"/>
      <c r="D18" s="317"/>
      <c r="E18" s="305" t="s">
        <v>12</v>
      </c>
      <c r="F18" s="305"/>
      <c r="G18" s="305"/>
      <c r="H18" s="305"/>
      <c r="I18" s="305"/>
      <c r="J18" s="305"/>
      <c r="K18" s="305"/>
      <c r="L18" s="305" t="s">
        <v>56</v>
      </c>
      <c r="M18" s="305"/>
      <c r="N18" s="305"/>
      <c r="O18" s="305"/>
      <c r="P18" s="305"/>
      <c r="Q18" s="305"/>
      <c r="R18" s="305"/>
      <c r="S18" s="305" t="s">
        <v>57</v>
      </c>
      <c r="T18" s="305"/>
      <c r="U18" s="305"/>
      <c r="V18" s="305"/>
      <c r="W18" s="305"/>
      <c r="X18" s="305"/>
      <c r="Y18" s="305"/>
      <c r="Z18" s="305" t="s">
        <v>58</v>
      </c>
      <c r="AA18" s="305"/>
      <c r="AB18" s="305"/>
      <c r="AC18" s="305"/>
      <c r="AD18" s="305"/>
      <c r="AE18" s="305"/>
      <c r="AF18" s="305"/>
      <c r="AG18" s="305" t="s">
        <v>59</v>
      </c>
      <c r="AH18" s="305"/>
      <c r="AI18" s="305"/>
      <c r="AJ18" s="305"/>
      <c r="AK18" s="305"/>
      <c r="AL18" s="305"/>
      <c r="AM18" s="305"/>
      <c r="AN18" s="305" t="s">
        <v>12</v>
      </c>
      <c r="AO18" s="305"/>
      <c r="AP18" s="305"/>
      <c r="AQ18" s="305"/>
      <c r="AR18" s="305"/>
      <c r="AS18" s="305"/>
      <c r="AT18" s="305"/>
      <c r="AU18" s="305" t="s">
        <v>56</v>
      </c>
      <c r="AV18" s="305"/>
      <c r="AW18" s="305"/>
      <c r="AX18" s="305"/>
      <c r="AY18" s="305"/>
      <c r="AZ18" s="305"/>
      <c r="BA18" s="305"/>
      <c r="BB18" s="305" t="s">
        <v>57</v>
      </c>
      <c r="BC18" s="305"/>
      <c r="BD18" s="305"/>
      <c r="BE18" s="305"/>
      <c r="BF18" s="305"/>
      <c r="BG18" s="305"/>
      <c r="BH18" s="305"/>
      <c r="BI18" s="305" t="s">
        <v>58</v>
      </c>
      <c r="BJ18" s="305"/>
      <c r="BK18" s="305"/>
      <c r="BL18" s="305"/>
      <c r="BM18" s="305"/>
      <c r="BN18" s="305"/>
      <c r="BO18" s="305"/>
      <c r="BP18" s="305" t="s">
        <v>59</v>
      </c>
      <c r="BQ18" s="305"/>
      <c r="BR18" s="305"/>
      <c r="BS18" s="305"/>
      <c r="BT18" s="305"/>
      <c r="BU18" s="305"/>
      <c r="BV18" s="305"/>
      <c r="BW18" s="312"/>
      <c r="BX18" s="313"/>
      <c r="BY18" s="313"/>
      <c r="BZ18" s="313"/>
      <c r="CA18" s="313"/>
      <c r="CB18" s="313"/>
      <c r="CC18" s="314"/>
      <c r="CD18" s="278"/>
    </row>
    <row r="19" spans="1:82" ht="96.75" customHeight="1" x14ac:dyDescent="0.25">
      <c r="A19" s="318"/>
      <c r="B19" s="319"/>
      <c r="C19" s="319"/>
      <c r="D19" s="318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8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75" t="s">
        <v>145</v>
      </c>
      <c r="B22" s="277"/>
      <c r="C22" s="276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4" t="s">
        <v>134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43" t="s">
        <v>883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  <c r="AE2" s="343"/>
      <c r="AF2" s="343"/>
      <c r="AG2" s="343"/>
      <c r="AH2" s="343"/>
      <c r="AI2" s="343"/>
      <c r="AJ2" s="343"/>
      <c r="AK2" s="343"/>
      <c r="AL2" s="343"/>
      <c r="AM2" s="343"/>
      <c r="BZ2" s="176"/>
      <c r="CA2" s="16" t="s">
        <v>884</v>
      </c>
    </row>
    <row r="3" spans="1:80" x14ac:dyDescent="0.25">
      <c r="A3" s="281" t="s">
        <v>885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</row>
    <row r="4" spans="1:80" x14ac:dyDescent="0.25">
      <c r="A4" s="344" t="s">
        <v>900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4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</row>
    <row r="8" spans="1:80" x14ac:dyDescent="0.25">
      <c r="A8" s="281" t="s">
        <v>886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1"/>
      <c r="AL8" s="281"/>
      <c r="AM8" s="281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45" t="s">
        <v>52</v>
      </c>
      <c r="B10" s="319" t="s">
        <v>887</v>
      </c>
      <c r="C10" s="319" t="s">
        <v>5</v>
      </c>
      <c r="D10" s="345" t="s">
        <v>888</v>
      </c>
      <c r="E10" s="335" t="s">
        <v>897</v>
      </c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6"/>
      <c r="V10" s="336"/>
      <c r="W10" s="336"/>
      <c r="X10" s="336"/>
      <c r="Y10" s="336"/>
      <c r="Z10" s="336"/>
      <c r="AA10" s="336"/>
      <c r="AB10" s="336"/>
      <c r="AC10" s="336"/>
      <c r="AD10" s="336"/>
      <c r="AE10" s="336"/>
      <c r="AF10" s="336"/>
      <c r="AG10" s="336"/>
      <c r="AH10" s="336"/>
      <c r="AI10" s="336"/>
      <c r="AJ10" s="336"/>
      <c r="AK10" s="336"/>
      <c r="AL10" s="336"/>
      <c r="AM10" s="336"/>
      <c r="AN10" s="336"/>
      <c r="AO10" s="336"/>
      <c r="AP10" s="336"/>
      <c r="AQ10" s="336"/>
      <c r="AR10" s="336"/>
      <c r="AS10" s="336"/>
      <c r="AT10" s="336"/>
      <c r="AU10" s="336"/>
      <c r="AV10" s="336"/>
      <c r="AW10" s="336"/>
      <c r="AX10" s="336"/>
      <c r="AY10" s="336"/>
      <c r="AZ10" s="336"/>
      <c r="BA10" s="336"/>
      <c r="BB10" s="336"/>
      <c r="BC10" s="336"/>
      <c r="BD10" s="336"/>
      <c r="BE10" s="336"/>
      <c r="BF10" s="336"/>
      <c r="BG10" s="336"/>
      <c r="BH10" s="336"/>
      <c r="BI10" s="336"/>
      <c r="BJ10" s="336"/>
      <c r="BK10" s="336"/>
      <c r="BL10" s="336"/>
      <c r="BM10" s="336"/>
      <c r="BN10" s="336"/>
      <c r="BO10" s="336"/>
      <c r="BP10" s="336"/>
      <c r="BQ10" s="336"/>
      <c r="BR10" s="336"/>
      <c r="BS10" s="336"/>
      <c r="BT10" s="336"/>
      <c r="BU10" s="336"/>
      <c r="BV10" s="337"/>
      <c r="BW10" s="326" t="s">
        <v>889</v>
      </c>
      <c r="BX10" s="327"/>
      <c r="BY10" s="327"/>
      <c r="BZ10" s="328"/>
      <c r="CA10" s="319" t="s">
        <v>7</v>
      </c>
    </row>
    <row r="11" spans="1:80" s="175" customFormat="1" ht="31.35" customHeight="1" x14ac:dyDescent="0.25">
      <c r="A11" s="346"/>
      <c r="B11" s="319"/>
      <c r="C11" s="319"/>
      <c r="D11" s="346"/>
      <c r="E11" s="335" t="s">
        <v>9</v>
      </c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7"/>
      <c r="AN11" s="335" t="s">
        <v>10</v>
      </c>
      <c r="AO11" s="336"/>
      <c r="AP11" s="336"/>
      <c r="AQ11" s="336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6"/>
      <c r="BF11" s="336"/>
      <c r="BG11" s="336"/>
      <c r="BH11" s="336"/>
      <c r="BI11" s="336"/>
      <c r="BJ11" s="336"/>
      <c r="BK11" s="336"/>
      <c r="BL11" s="336"/>
      <c r="BM11" s="336"/>
      <c r="BN11" s="336"/>
      <c r="BO11" s="336"/>
      <c r="BP11" s="336"/>
      <c r="BQ11" s="336"/>
      <c r="BR11" s="336"/>
      <c r="BS11" s="336"/>
      <c r="BT11" s="336"/>
      <c r="BU11" s="336"/>
      <c r="BV11" s="336"/>
      <c r="BW11" s="329"/>
      <c r="BX11" s="330"/>
      <c r="BY11" s="330"/>
      <c r="BZ11" s="331"/>
      <c r="CA11" s="319"/>
      <c r="CB11" s="194"/>
    </row>
    <row r="12" spans="1:80" s="175" customFormat="1" ht="33.6" customHeight="1" x14ac:dyDescent="0.25">
      <c r="A12" s="346"/>
      <c r="B12" s="319"/>
      <c r="C12" s="319"/>
      <c r="D12" s="346"/>
      <c r="E12" s="338" t="s">
        <v>12</v>
      </c>
      <c r="F12" s="339"/>
      <c r="G12" s="339"/>
      <c r="H12" s="339"/>
      <c r="I12" s="339"/>
      <c r="J12" s="339"/>
      <c r="K12" s="340"/>
      <c r="L12" s="338" t="s">
        <v>56</v>
      </c>
      <c r="M12" s="339"/>
      <c r="N12" s="339"/>
      <c r="O12" s="339"/>
      <c r="P12" s="339"/>
      <c r="Q12" s="339"/>
      <c r="R12" s="340"/>
      <c r="S12" s="319" t="s">
        <v>57</v>
      </c>
      <c r="T12" s="319"/>
      <c r="U12" s="319"/>
      <c r="V12" s="319"/>
      <c r="W12" s="319"/>
      <c r="X12" s="319"/>
      <c r="Y12" s="319"/>
      <c r="Z12" s="319" t="s">
        <v>61</v>
      </c>
      <c r="AA12" s="319"/>
      <c r="AB12" s="319"/>
      <c r="AC12" s="319"/>
      <c r="AD12" s="319"/>
      <c r="AE12" s="319"/>
      <c r="AF12" s="319"/>
      <c r="AG12" s="305" t="s">
        <v>59</v>
      </c>
      <c r="AH12" s="305"/>
      <c r="AI12" s="305"/>
      <c r="AJ12" s="305"/>
      <c r="AK12" s="305"/>
      <c r="AL12" s="305"/>
      <c r="AM12" s="305"/>
      <c r="AN12" s="319" t="s">
        <v>12</v>
      </c>
      <c r="AO12" s="319"/>
      <c r="AP12" s="319"/>
      <c r="AQ12" s="319"/>
      <c r="AR12" s="319"/>
      <c r="AS12" s="319"/>
      <c r="AT12" s="319"/>
      <c r="AU12" s="338" t="s">
        <v>56</v>
      </c>
      <c r="AV12" s="339"/>
      <c r="AW12" s="339"/>
      <c r="AX12" s="339"/>
      <c r="AY12" s="339"/>
      <c r="AZ12" s="339"/>
      <c r="BA12" s="340"/>
      <c r="BB12" s="338" t="s">
        <v>57</v>
      </c>
      <c r="BC12" s="339"/>
      <c r="BD12" s="339"/>
      <c r="BE12" s="339"/>
      <c r="BF12" s="339"/>
      <c r="BG12" s="339"/>
      <c r="BH12" s="340"/>
      <c r="BI12" s="338" t="s">
        <v>61</v>
      </c>
      <c r="BJ12" s="339"/>
      <c r="BK12" s="339"/>
      <c r="BL12" s="339"/>
      <c r="BM12" s="339"/>
      <c r="BN12" s="339"/>
      <c r="BO12" s="340"/>
      <c r="BP12" s="335" t="s">
        <v>59</v>
      </c>
      <c r="BQ12" s="336"/>
      <c r="BR12" s="336"/>
      <c r="BS12" s="336"/>
      <c r="BT12" s="336"/>
      <c r="BU12" s="336"/>
      <c r="BV12" s="336"/>
      <c r="BW12" s="332"/>
      <c r="BX12" s="333"/>
      <c r="BY12" s="333"/>
      <c r="BZ12" s="334"/>
      <c r="CA12" s="319"/>
      <c r="CB12" s="194"/>
    </row>
    <row r="13" spans="1:80" s="175" customFormat="1" ht="51.75" customHeight="1" x14ac:dyDescent="0.25">
      <c r="A13" s="346"/>
      <c r="B13" s="319"/>
      <c r="C13" s="319"/>
      <c r="D13" s="346"/>
      <c r="E13" s="195" t="s">
        <v>890</v>
      </c>
      <c r="F13" s="305" t="s">
        <v>891</v>
      </c>
      <c r="G13" s="305"/>
      <c r="H13" s="305"/>
      <c r="I13" s="305"/>
      <c r="J13" s="305"/>
      <c r="K13" s="305"/>
      <c r="L13" s="195" t="s">
        <v>890</v>
      </c>
      <c r="M13" s="305" t="s">
        <v>891</v>
      </c>
      <c r="N13" s="305"/>
      <c r="O13" s="305"/>
      <c r="P13" s="305"/>
      <c r="Q13" s="305"/>
      <c r="R13" s="305"/>
      <c r="S13" s="195" t="s">
        <v>890</v>
      </c>
      <c r="T13" s="305" t="s">
        <v>891</v>
      </c>
      <c r="U13" s="305"/>
      <c r="V13" s="305"/>
      <c r="W13" s="305"/>
      <c r="X13" s="305"/>
      <c r="Y13" s="305"/>
      <c r="Z13" s="195" t="s">
        <v>890</v>
      </c>
      <c r="AA13" s="305" t="s">
        <v>891</v>
      </c>
      <c r="AB13" s="305"/>
      <c r="AC13" s="305"/>
      <c r="AD13" s="305"/>
      <c r="AE13" s="305"/>
      <c r="AF13" s="305"/>
      <c r="AG13" s="195" t="s">
        <v>890</v>
      </c>
      <c r="AH13" s="305" t="s">
        <v>891</v>
      </c>
      <c r="AI13" s="305"/>
      <c r="AJ13" s="305"/>
      <c r="AK13" s="305"/>
      <c r="AL13" s="305"/>
      <c r="AM13" s="305"/>
      <c r="AN13" s="195" t="s">
        <v>890</v>
      </c>
      <c r="AO13" s="305" t="s">
        <v>891</v>
      </c>
      <c r="AP13" s="305"/>
      <c r="AQ13" s="305"/>
      <c r="AR13" s="305"/>
      <c r="AS13" s="305"/>
      <c r="AT13" s="305"/>
      <c r="AU13" s="195" t="s">
        <v>890</v>
      </c>
      <c r="AV13" s="305" t="s">
        <v>891</v>
      </c>
      <c r="AW13" s="305"/>
      <c r="AX13" s="305"/>
      <c r="AY13" s="305"/>
      <c r="AZ13" s="305"/>
      <c r="BA13" s="305"/>
      <c r="BB13" s="195" t="s">
        <v>890</v>
      </c>
      <c r="BC13" s="305" t="s">
        <v>891</v>
      </c>
      <c r="BD13" s="305"/>
      <c r="BE13" s="305"/>
      <c r="BF13" s="305"/>
      <c r="BG13" s="305"/>
      <c r="BH13" s="305"/>
      <c r="BI13" s="195" t="s">
        <v>890</v>
      </c>
      <c r="BJ13" s="305" t="s">
        <v>891</v>
      </c>
      <c r="BK13" s="305"/>
      <c r="BL13" s="305"/>
      <c r="BM13" s="305"/>
      <c r="BN13" s="305"/>
      <c r="BO13" s="305"/>
      <c r="BP13" s="195" t="s">
        <v>890</v>
      </c>
      <c r="BQ13" s="305" t="s">
        <v>891</v>
      </c>
      <c r="BR13" s="305"/>
      <c r="BS13" s="305"/>
      <c r="BT13" s="305"/>
      <c r="BU13" s="305"/>
      <c r="BV13" s="305"/>
      <c r="BW13" s="341" t="s">
        <v>890</v>
      </c>
      <c r="BX13" s="341"/>
      <c r="BY13" s="341" t="s">
        <v>891</v>
      </c>
      <c r="BZ13" s="341"/>
      <c r="CA13" s="319"/>
      <c r="CB13" s="194"/>
    </row>
    <row r="14" spans="1:80" s="175" customFormat="1" ht="66.599999999999994" customHeight="1" x14ac:dyDescent="0.25">
      <c r="A14" s="347"/>
      <c r="B14" s="319"/>
      <c r="C14" s="319"/>
      <c r="D14" s="347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19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42"/>
      <c r="B19" s="342"/>
      <c r="C19" s="342"/>
      <c r="D19" s="342"/>
      <c r="E19" s="342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9" t="s">
        <v>839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49"/>
      <c r="AK4" s="349"/>
      <c r="AL4" s="349"/>
      <c r="AM4" s="349"/>
      <c r="AN4" s="349"/>
      <c r="AO4" s="349"/>
      <c r="AP4" s="349"/>
      <c r="AQ4" s="349"/>
      <c r="AR4" s="349"/>
      <c r="AS4" s="349"/>
      <c r="AT4" s="349"/>
      <c r="AU4" s="349"/>
      <c r="AV4" s="349"/>
      <c r="AW4" s="349"/>
      <c r="AX4" s="349"/>
      <c r="AY4" s="349"/>
      <c r="AZ4" s="349"/>
      <c r="BA4" s="349"/>
      <c r="BB4" s="349"/>
      <c r="BC4" s="349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2" t="s">
        <v>868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352"/>
      <c r="AQ5" s="352"/>
      <c r="AR5" s="352"/>
      <c r="AS5" s="352"/>
      <c r="AT5" s="352"/>
      <c r="AU5" s="352"/>
      <c r="AV5" s="352"/>
      <c r="AW5" s="352"/>
      <c r="AX5" s="352"/>
      <c r="AY5" s="352"/>
      <c r="AZ5" s="352"/>
      <c r="BA5" s="352"/>
      <c r="BB5" s="352"/>
      <c r="BC5" s="352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0" t="s">
        <v>872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pans="1:102" s="18" customFormat="1" x14ac:dyDescent="0.25">
      <c r="A8" s="290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spans="1:102" s="18" customFormat="1" x14ac:dyDescent="0.25">
      <c r="A9" s="281" t="s">
        <v>60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1"/>
      <c r="AG9" s="281"/>
      <c r="AH9" s="281"/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1"/>
      <c r="BA9" s="281"/>
    </row>
    <row r="10" spans="1:102" x14ac:dyDescent="0.25">
      <c r="A10" s="349" t="s">
        <v>873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9"/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/>
      <c r="AO12" s="349"/>
      <c r="AP12" s="349"/>
      <c r="AQ12" s="349"/>
      <c r="AR12" s="349"/>
      <c r="AS12" s="349"/>
      <c r="AT12" s="349"/>
      <c r="AU12" s="349"/>
      <c r="AV12" s="349"/>
      <c r="AW12" s="349"/>
      <c r="AX12" s="349"/>
      <c r="AY12" s="349"/>
      <c r="AZ12" s="349"/>
      <c r="BA12" s="349"/>
      <c r="BB12" s="349"/>
      <c r="BC12" s="349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9" t="s">
        <v>144</v>
      </c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49"/>
      <c r="BC13" s="349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</row>
    <row r="15" spans="1:102" ht="51.75" customHeight="1" x14ac:dyDescent="0.25">
      <c r="A15" s="283" t="s">
        <v>52</v>
      </c>
      <c r="B15" s="278" t="s">
        <v>17</v>
      </c>
      <c r="C15" s="350" t="s">
        <v>5</v>
      </c>
      <c r="D15" s="278" t="s">
        <v>876</v>
      </c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  <c r="Z15" s="278"/>
      <c r="AA15" s="278"/>
      <c r="AB15" s="278"/>
      <c r="AC15" s="278"/>
      <c r="AD15" s="278" t="s">
        <v>881</v>
      </c>
      <c r="AE15" s="278"/>
      <c r="AF15" s="278"/>
      <c r="AG15" s="278"/>
      <c r="AH15" s="278"/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8"/>
      <c r="AT15" s="278"/>
      <c r="AU15" s="278"/>
      <c r="AV15" s="278"/>
      <c r="AW15" s="278"/>
      <c r="AX15" s="278"/>
      <c r="AY15" s="278"/>
      <c r="AZ15" s="278"/>
      <c r="BA15" s="278"/>
      <c r="BB15" s="278"/>
      <c r="BC15" s="278"/>
    </row>
    <row r="16" spans="1:102" ht="51.75" customHeight="1" x14ac:dyDescent="0.25">
      <c r="A16" s="283"/>
      <c r="B16" s="278"/>
      <c r="C16" s="355"/>
      <c r="D16" s="107" t="s">
        <v>9</v>
      </c>
      <c r="E16" s="275" t="s">
        <v>10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6"/>
      <c r="AD16" s="107" t="s">
        <v>9</v>
      </c>
      <c r="AE16" s="275" t="s">
        <v>10</v>
      </c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6"/>
    </row>
    <row r="17" spans="1:97" ht="22.5" customHeight="1" x14ac:dyDescent="0.25">
      <c r="A17" s="283"/>
      <c r="B17" s="278"/>
      <c r="C17" s="355"/>
      <c r="D17" s="350" t="s">
        <v>12</v>
      </c>
      <c r="E17" s="275" t="s">
        <v>12</v>
      </c>
      <c r="F17" s="277"/>
      <c r="G17" s="277"/>
      <c r="H17" s="277"/>
      <c r="I17" s="276"/>
      <c r="J17" s="319" t="s">
        <v>56</v>
      </c>
      <c r="K17" s="319"/>
      <c r="L17" s="319"/>
      <c r="M17" s="319"/>
      <c r="N17" s="319"/>
      <c r="O17" s="319" t="s">
        <v>57</v>
      </c>
      <c r="P17" s="319"/>
      <c r="Q17" s="319"/>
      <c r="R17" s="319"/>
      <c r="S17" s="319"/>
      <c r="T17" s="319" t="s">
        <v>61</v>
      </c>
      <c r="U17" s="319"/>
      <c r="V17" s="319"/>
      <c r="W17" s="319"/>
      <c r="X17" s="319"/>
      <c r="Y17" s="305" t="s">
        <v>59</v>
      </c>
      <c r="Z17" s="305"/>
      <c r="AA17" s="305"/>
      <c r="AB17" s="305"/>
      <c r="AC17" s="305"/>
      <c r="AD17" s="350" t="s">
        <v>12</v>
      </c>
      <c r="AE17" s="275" t="s">
        <v>12</v>
      </c>
      <c r="AF17" s="277"/>
      <c r="AG17" s="277"/>
      <c r="AH17" s="277"/>
      <c r="AI17" s="276"/>
      <c r="AJ17" s="319" t="s">
        <v>56</v>
      </c>
      <c r="AK17" s="319"/>
      <c r="AL17" s="319"/>
      <c r="AM17" s="319"/>
      <c r="AN17" s="319"/>
      <c r="AO17" s="319" t="s">
        <v>57</v>
      </c>
      <c r="AP17" s="319"/>
      <c r="AQ17" s="319"/>
      <c r="AR17" s="319"/>
      <c r="AS17" s="319"/>
      <c r="AT17" s="319" t="s">
        <v>61</v>
      </c>
      <c r="AU17" s="319"/>
      <c r="AV17" s="319"/>
      <c r="AW17" s="319"/>
      <c r="AX17" s="319"/>
      <c r="AY17" s="305" t="s">
        <v>59</v>
      </c>
      <c r="AZ17" s="305"/>
      <c r="BA17" s="305"/>
      <c r="BB17" s="305"/>
      <c r="BC17" s="305"/>
    </row>
    <row r="18" spans="1:97" ht="194.25" customHeight="1" x14ac:dyDescent="0.25">
      <c r="A18" s="283"/>
      <c r="B18" s="278"/>
      <c r="C18" s="351"/>
      <c r="D18" s="351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1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6" t="s">
        <v>145</v>
      </c>
      <c r="B21" s="357"/>
      <c r="C21" s="358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</row>
    <row r="25" spans="1:97" ht="15.75" customHeight="1" x14ac:dyDescent="0.25">
      <c r="A25" s="86"/>
      <c r="B25" s="353"/>
      <c r="C25" s="353"/>
      <c r="D25" s="353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24" zoomScale="80" zoomScaleNormal="80" zoomScaleSheetLayoutView="80" workbookViewId="0">
      <selection activeCell="H81" sqref="H81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4" width="10.875" style="23" bestFit="1" customWidth="1"/>
    <col min="5" max="5" width="13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84" t="s">
        <v>854</v>
      </c>
      <c r="B6" s="384"/>
      <c r="C6" s="384"/>
      <c r="D6" s="384"/>
      <c r="E6" s="384"/>
      <c r="F6" s="384"/>
      <c r="G6" s="384"/>
      <c r="H6" s="384"/>
    </row>
    <row r="7" spans="1:8" ht="41.25" customHeight="1" x14ac:dyDescent="0.25">
      <c r="A7" s="384"/>
      <c r="B7" s="384"/>
      <c r="C7" s="384"/>
      <c r="D7" s="384"/>
      <c r="E7" s="384"/>
      <c r="F7" s="384"/>
      <c r="G7" s="384"/>
      <c r="H7" s="384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86" t="s">
        <v>867</v>
      </c>
      <c r="B11" s="386"/>
      <c r="C11" s="386"/>
      <c r="D11" s="386"/>
      <c r="E11" s="386"/>
      <c r="F11" s="386"/>
      <c r="G11" s="386"/>
      <c r="H11" s="386"/>
    </row>
    <row r="12" spans="1:8" x14ac:dyDescent="0.25">
      <c r="A12" s="385" t="s">
        <v>905</v>
      </c>
      <c r="B12" s="385"/>
      <c r="C12" s="385"/>
      <c r="D12" s="385"/>
      <c r="E12" s="385"/>
      <c r="F12" s="385"/>
      <c r="G12" s="385"/>
      <c r="H12" s="385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8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7"/>
      <c r="C14" s="387"/>
      <c r="D14" s="387"/>
      <c r="E14" s="387"/>
      <c r="F14" s="387"/>
      <c r="G14" s="387"/>
      <c r="H14" s="387"/>
    </row>
    <row r="15" spans="1:8" x14ac:dyDescent="0.25">
      <c r="A15" s="385" t="s">
        <v>245</v>
      </c>
      <c r="B15" s="385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64"/>
      <c r="F17" s="264"/>
      <c r="G17" s="264"/>
      <c r="J17" s="24" t="s">
        <v>833</v>
      </c>
    </row>
    <row r="18" spans="1:10" ht="16.5" thickBot="1" x14ac:dyDescent="0.3">
      <c r="A18" s="388" t="s">
        <v>246</v>
      </c>
      <c r="B18" s="388"/>
      <c r="C18" s="388"/>
      <c r="D18" s="388"/>
      <c r="E18" s="388"/>
      <c r="F18" s="388"/>
      <c r="G18" s="388"/>
      <c r="H18" s="388"/>
    </row>
    <row r="19" spans="1:10" ht="66" customHeight="1" x14ac:dyDescent="0.25">
      <c r="A19" s="365" t="s">
        <v>148</v>
      </c>
      <c r="B19" s="367" t="s">
        <v>149</v>
      </c>
      <c r="C19" s="369" t="s">
        <v>247</v>
      </c>
      <c r="D19" s="371" t="s">
        <v>906</v>
      </c>
      <c r="E19" s="372"/>
      <c r="F19" s="373" t="s">
        <v>834</v>
      </c>
      <c r="G19" s="372"/>
      <c r="H19" s="360" t="s">
        <v>7</v>
      </c>
    </row>
    <row r="20" spans="1:10" ht="48" customHeight="1" x14ac:dyDescent="0.25">
      <c r="A20" s="366"/>
      <c r="B20" s="368"/>
      <c r="C20" s="370"/>
      <c r="D20" s="138" t="s">
        <v>827</v>
      </c>
      <c r="E20" s="139" t="s">
        <v>904</v>
      </c>
      <c r="F20" s="139" t="s">
        <v>828</v>
      </c>
      <c r="G20" s="138" t="s">
        <v>826</v>
      </c>
      <c r="H20" s="361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4" t="s">
        <v>248</v>
      </c>
      <c r="B22" s="375"/>
      <c r="C22" s="375"/>
      <c r="D22" s="375"/>
      <c r="E22" s="375"/>
      <c r="F22" s="375"/>
      <c r="G22" s="375"/>
      <c r="H22" s="376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1123.6559999999999</v>
      </c>
      <c r="E23" s="223">
        <f>E32+E37</f>
        <v>1160.01451</v>
      </c>
      <c r="F23" s="223">
        <f>E23-D23</f>
        <v>36.358510000000024</v>
      </c>
      <c r="G23" s="244">
        <f>E23/D23-100%</f>
        <v>3.2357331781256882E-2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f>319.81554+220.68927+255.9658+326.88539</f>
        <v>1123.356</v>
      </c>
      <c r="E32" s="221">
        <f>337.44572+240.15674+255.9658+326.88539-0.71</f>
        <v>1159.7436499999999</v>
      </c>
      <c r="F32" s="221">
        <f t="shared" si="0"/>
        <v>36.387649999999894</v>
      </c>
      <c r="G32" s="243">
        <f t="shared" ref="G32:G81" si="1">E32/D32-100%</f>
        <v>3.2391913160209063E-2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0.3</v>
      </c>
      <c r="E37" s="241">
        <f>0.022+0.09886+0.075+0.075</f>
        <v>0.27085999999999999</v>
      </c>
      <c r="F37" s="231">
        <f t="shared" si="0"/>
        <v>-2.9139999999999999E-2</v>
      </c>
      <c r="G37" s="245">
        <f t="shared" si="1"/>
        <v>-9.7133333333333294E-2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994.16489000000001</v>
      </c>
      <c r="E38" s="240">
        <f>E47+E52</f>
        <v>1032.2197899999999</v>
      </c>
      <c r="F38" s="223">
        <f t="shared" si="0"/>
        <v>38.054899999999861</v>
      </c>
      <c r="G38" s="244">
        <f t="shared" si="1"/>
        <v>3.8278257845134611E-2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D53+D62+D68+D69+D70+D74+D75</f>
        <v>993.86489000000006</v>
      </c>
      <c r="E47" s="221">
        <f>E53+E62+E68+E69+E70+E74+E75</f>
        <v>1031.9643699999999</v>
      </c>
      <c r="F47" s="221">
        <f t="shared" si="0"/>
        <v>38.099479999999858</v>
      </c>
      <c r="G47" s="243">
        <f t="shared" si="1"/>
        <v>3.8334667401320299E-2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f>D76</f>
        <v>0.3</v>
      </c>
      <c r="E52" s="224">
        <f>E76</f>
        <v>0.25541999999999998</v>
      </c>
      <c r="F52" s="221">
        <f t="shared" si="0"/>
        <v>-4.4580000000000009E-2</v>
      </c>
      <c r="G52" s="243">
        <f t="shared" si="1"/>
        <v>-0.14860000000000007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673.51166999999998</v>
      </c>
      <c r="E53" s="221">
        <f>E54+E55+E60+E61</f>
        <v>698.70794000000001</v>
      </c>
      <c r="F53" s="221">
        <f t="shared" si="0"/>
        <v>25.196270000000027</v>
      </c>
      <c r="G53" s="243">
        <f t="shared" si="1"/>
        <v>3.7410294613009487E-2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669.02116000000001</v>
      </c>
      <c r="E55" s="221">
        <f>E56+E59</f>
        <v>695.93435999999997</v>
      </c>
      <c r="F55" s="221">
        <f t="shared" si="0"/>
        <v>26.913199999999961</v>
      </c>
      <c r="G55" s="243">
        <f t="shared" si="1"/>
        <v>4.0227726130515729E-2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669.02116000000001</v>
      </c>
      <c r="E56" s="221">
        <f>E57+E58</f>
        <v>695.93435999999997</v>
      </c>
      <c r="F56" s="221">
        <f t="shared" si="0"/>
        <v>26.913199999999961</v>
      </c>
      <c r="G56" s="243">
        <f t="shared" si="1"/>
        <v>4.0227726130515729E-2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4">
        <f>195.87761+124.57923+156.16854+192.39578</f>
        <v>669.02116000000001</v>
      </c>
      <c r="E58" s="221">
        <f>205.64485+141.72519+156.16854+192.39578</f>
        <v>695.93435999999997</v>
      </c>
      <c r="F58" s="221">
        <f t="shared" si="0"/>
        <v>26.913199999999961</v>
      </c>
      <c r="G58" s="243">
        <f t="shared" si="1"/>
        <v>4.0227726130515729E-2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f>1.44931+2.04733+0.39817+0.5957</f>
        <v>4.4905100000000004</v>
      </c>
      <c r="E60" s="221">
        <f>1.35545+0.42426+0.39817+0.5957</f>
        <v>2.7735799999999999</v>
      </c>
      <c r="F60" s="221">
        <f t="shared" si="0"/>
        <v>-1.7169300000000005</v>
      </c>
      <c r="G60" s="243">
        <f t="shared" si="1"/>
        <v>-0.38234632591843698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0</v>
      </c>
      <c r="E61" s="221">
        <v>0</v>
      </c>
      <c r="F61" s="221">
        <f t="shared" si="0"/>
        <v>0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244.79820000000001</v>
      </c>
      <c r="E62" s="221">
        <f>E63+E64+E65+E66+E67</f>
        <v>254.22232</v>
      </c>
      <c r="F62" s="221">
        <f t="shared" si="0"/>
        <v>9.4241199999999878</v>
      </c>
      <c r="G62" s="243">
        <f t="shared" si="1"/>
        <v>3.8497505292113932E-2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f>65.40216+48.37048+51.47407+69.54159</f>
        <v>234.78829999999999</v>
      </c>
      <c r="E64" s="221">
        <f>71.04146+52.13743+51.47407+69.54159</f>
        <v>244.19454999999999</v>
      </c>
      <c r="F64" s="221">
        <f t="shared" si="0"/>
        <v>9.40625</v>
      </c>
      <c r="G64" s="243">
        <f t="shared" si="1"/>
        <v>4.0062686258216518E-2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f>0.5082+0.37231+0.51936+0.62067</f>
        <v>2.02054</v>
      </c>
      <c r="E66" s="221">
        <f>0.52878+0.41912+0.51936+0.62067</f>
        <v>2.0879300000000001</v>
      </c>
      <c r="F66" s="221">
        <f t="shared" si="0"/>
        <v>6.7390000000000061E-2</v>
      </c>
      <c r="G66" s="243">
        <f t="shared" si="1"/>
        <v>3.3352470131746914E-2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f>1.76192+2.24526+1.96192+2.02026</f>
        <v>7.9893599999999996</v>
      </c>
      <c r="E67" s="221">
        <f>1.94777+2.00989+1.96192+2.02026</f>
        <v>7.9398400000000002</v>
      </c>
      <c r="F67" s="221">
        <f t="shared" si="0"/>
        <v>-4.9519999999999342E-2</v>
      </c>
      <c r="G67" s="243">
        <f t="shared" si="1"/>
        <v>-6.1982436640731775E-3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f>7.96756+8.42004+12.0533+15.14503</f>
        <v>43.585929999999998</v>
      </c>
      <c r="E68" s="221">
        <f>8.59506+7.94456+12.0533+15.14503</f>
        <v>43.737949999999998</v>
      </c>
      <c r="F68" s="221">
        <f t="shared" si="0"/>
        <v>0.15202000000000027</v>
      </c>
      <c r="G68" s="243">
        <f t="shared" si="1"/>
        <v>3.4878227905197345E-3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f>2.08374+2.13374+2.15674+2.15874</f>
        <v>8.5329599999999992</v>
      </c>
      <c r="E69" s="221">
        <f>2.1917+2.20538+2.15674+2.15874</f>
        <v>8.7125599999999999</v>
      </c>
      <c r="F69" s="221">
        <f t="shared" si="0"/>
        <v>0.17960000000000065</v>
      </c>
      <c r="G69" s="243">
        <f t="shared" si="1"/>
        <v>2.1047795841068195E-2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8.5599999999999999E-3</v>
      </c>
      <c r="E70" s="221">
        <f>E71+E72</f>
        <v>8.5599999999999999E-3</v>
      </c>
      <c r="F70" s="221">
        <f t="shared" si="0"/>
        <v>0</v>
      </c>
      <c r="G70" s="243">
        <f t="shared" si="1"/>
        <v>0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f>0.00214+0.00214+0.00214+0.00214</f>
        <v>8.5599999999999999E-3</v>
      </c>
      <c r="E72" s="221">
        <f>0.00214+0.00214+0.00214+0.00214</f>
        <v>8.5599999999999999E-3</v>
      </c>
      <c r="F72" s="221">
        <f t="shared" si="0"/>
        <v>0</v>
      </c>
      <c r="G72" s="243">
        <f t="shared" si="1"/>
        <v>0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23.72757</v>
      </c>
      <c r="E73" s="221">
        <f>E74+E75+E76</f>
        <v>26.830459999999999</v>
      </c>
      <c r="F73" s="221">
        <f t="shared" si="0"/>
        <v>3.1028899999999986</v>
      </c>
      <c r="G73" s="243">
        <f t="shared" si="1"/>
        <v>0.1307715033608583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f>22.38757-D76+1.25</f>
        <v>23.337569999999999</v>
      </c>
      <c r="E74" s="221">
        <f>4.63125+4.81873+5.59758+6.2165-E76+1.25+4.2264</f>
        <v>26.485039999999998</v>
      </c>
      <c r="F74" s="221">
        <f t="shared" si="0"/>
        <v>3.1474699999999984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f>0.0225+0.0225+0.0225+0.0225</f>
        <v>0.09</v>
      </c>
      <c r="E75" s="221">
        <f>0.0225+0.0225+0.0225+0.0225</f>
        <v>0.09</v>
      </c>
      <c r="F75" s="221">
        <f t="shared" si="0"/>
        <v>0</v>
      </c>
      <c r="G75" s="243">
        <f t="shared" si="1"/>
        <v>0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0.3</v>
      </c>
      <c r="E76" s="231">
        <f>0.0275+0.07792+0.075+0.075</f>
        <v>0.25541999999999998</v>
      </c>
      <c r="F76" s="231">
        <f t="shared" si="0"/>
        <v>-4.4580000000000009E-2</v>
      </c>
      <c r="G76" s="245">
        <f t="shared" si="1"/>
        <v>-0.14860000000000007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321.25372000000004</v>
      </c>
      <c r="E77" s="223">
        <f>E78+E79+E80</f>
        <v>334.16284999999999</v>
      </c>
      <c r="F77" s="223">
        <f t="shared" si="0"/>
        <v>12.909129999999948</v>
      </c>
      <c r="G77" s="244">
        <f t="shared" si="1"/>
        <v>4.0183596940138067E-2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0.60050000000000003</v>
      </c>
      <c r="E78" s="221">
        <v>0.65100000000000002</v>
      </c>
      <c r="F78" s="221">
        <f t="shared" si="0"/>
        <v>5.0499999999999989E-2</v>
      </c>
      <c r="G78" s="243">
        <f t="shared" si="1"/>
        <v>8.4096586178184829E-2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f>D62+D68+D69+D70+D73</f>
        <v>320.65322000000003</v>
      </c>
      <c r="E79" s="221">
        <f>E62+E68+E69+E70+E73</f>
        <v>333.51184999999998</v>
      </c>
      <c r="F79" s="221">
        <f t="shared" si="0"/>
        <v>12.858629999999948</v>
      </c>
      <c r="G79" s="243">
        <f t="shared" si="1"/>
        <v>4.010135934390413E-2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0</v>
      </c>
      <c r="F80" s="241">
        <f t="shared" si="0"/>
        <v>0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</f>
        <v>129.49110999999994</v>
      </c>
      <c r="E81" s="223">
        <f>E23-E38</f>
        <v>127.7947200000001</v>
      </c>
      <c r="F81" s="226">
        <f t="shared" si="0"/>
        <v>-1.6963899999998375</v>
      </c>
      <c r="G81" s="244">
        <f t="shared" si="1"/>
        <v>-1.3100436006764027E-2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</f>
        <v>129.49110999999994</v>
      </c>
      <c r="E90" s="221">
        <f>E32-E47</f>
        <v>127.77927999999997</v>
      </c>
      <c r="F90" s="221">
        <f t="shared" si="2"/>
        <v>-1.7118299999999635</v>
      </c>
      <c r="G90" s="243">
        <f>E90/D90-100%</f>
        <v>-1.3219671991381965E-2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0</v>
      </c>
      <c r="E95" s="221">
        <f>E37-E52</f>
        <v>1.5440000000000009E-2</v>
      </c>
      <c r="F95" s="221">
        <f t="shared" si="2"/>
        <v>1.5440000000000009E-2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-72.203450000000004</v>
      </c>
      <c r="E96" s="221">
        <f>E97-E103</f>
        <v>-72.288229999999999</v>
      </c>
      <c r="F96" s="221">
        <f t="shared" si="2"/>
        <v>-8.477999999999497E-2</v>
      </c>
      <c r="G96" s="243">
        <f>E96/D96-100%</f>
        <v>1.1741821201063374E-3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f>3.19953+D100</f>
        <v>18.199529999999999</v>
      </c>
      <c r="E97" s="229">
        <f>2.292+4.91204+0.79988+0.79988+E100</f>
        <v>23.803800000000003</v>
      </c>
      <c r="F97" s="221">
        <f t="shared" si="2"/>
        <v>5.6042700000000032</v>
      </c>
      <c r="G97" s="243">
        <f>E97/D97-100%</f>
        <v>0.30793487524128382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9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</v>
      </c>
      <c r="E99" s="229">
        <v>0</v>
      </c>
      <c r="F99" s="221">
        <f t="shared" si="2"/>
        <v>0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15</v>
      </c>
      <c r="E100" s="229">
        <f>E101</f>
        <v>15</v>
      </c>
      <c r="F100" s="221">
        <f t="shared" si="2"/>
        <v>0</v>
      </c>
      <c r="G100" s="243">
        <f t="shared" ref="G100:G109" si="3">E100/D100-100%</f>
        <v>0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15</v>
      </c>
      <c r="E101" s="229">
        <v>15</v>
      </c>
      <c r="F101" s="221">
        <f t="shared" si="2"/>
        <v>0</v>
      </c>
      <c r="G101" s="243">
        <f t="shared" si="3"/>
        <v>0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f>D97-D100</f>
        <v>3.1995299999999993</v>
      </c>
      <c r="E102" s="229">
        <f>E97-E100</f>
        <v>8.8038000000000025</v>
      </c>
      <c r="F102" s="221">
        <f t="shared" si="2"/>
        <v>5.6042700000000032</v>
      </c>
      <c r="G102" s="243">
        <f t="shared" si="3"/>
        <v>1.7515916400221294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4.50298+D105+D106</f>
        <v>90.402979999999999</v>
      </c>
      <c r="E103" s="229">
        <f>5.29203+E105+E106</f>
        <v>96.092029999999994</v>
      </c>
      <c r="F103" s="221">
        <f t="shared" si="2"/>
        <v>5.6890499999999946</v>
      </c>
      <c r="G103" s="243">
        <f t="shared" si="3"/>
        <v>6.292989456763487E-2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f>1.17885</f>
        <v>1.17885</v>
      </c>
      <c r="E104" s="229">
        <f>0.12284+0.24075+0.21775+0.47935</f>
        <v>1.0606899999999999</v>
      </c>
      <c r="F104" s="221">
        <f t="shared" si="2"/>
        <v>-0.11816000000000004</v>
      </c>
      <c r="G104" s="243">
        <f t="shared" si="3"/>
        <v>-0.10023327819485095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f>15.4+15.5</f>
        <v>30.9</v>
      </c>
      <c r="E105" s="229">
        <f>16+14.8</f>
        <v>30.8</v>
      </c>
      <c r="F105" s="221">
        <f t="shared" si="2"/>
        <v>-9.9999999999997868E-2</v>
      </c>
      <c r="G105" s="243">
        <f t="shared" si="3"/>
        <v>-3.2362459546925182E-3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55</v>
      </c>
      <c r="E106" s="229">
        <f>E107</f>
        <v>60</v>
      </c>
      <c r="F106" s="221">
        <f t="shared" si="2"/>
        <v>5</v>
      </c>
      <c r="G106" s="243">
        <f t="shared" si="3"/>
        <v>9.0909090909090828E-2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55</v>
      </c>
      <c r="E107" s="229">
        <v>60</v>
      </c>
      <c r="F107" s="221">
        <f t="shared" si="2"/>
        <v>5</v>
      </c>
      <c r="G107" s="243">
        <f t="shared" si="3"/>
        <v>9.0909090909090828E-2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4">
        <f>D103-D104-D105-D106</f>
        <v>3.3241300000000038</v>
      </c>
      <c r="E108" s="229">
        <f>E103-E104-E105-E106</f>
        <v>4.231340000000003</v>
      </c>
      <c r="F108" s="221">
        <f t="shared" si="2"/>
        <v>0.90720999999999918</v>
      </c>
      <c r="G108" s="243">
        <f t="shared" si="3"/>
        <v>0.2729165225186736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389">
        <f>D81+D96</f>
        <v>57.287659999999931</v>
      </c>
      <c r="E109" s="221">
        <f>E81+E96</f>
        <v>55.506490000000099</v>
      </c>
      <c r="F109" s="221">
        <f t="shared" si="2"/>
        <v>-1.7811699999998325</v>
      </c>
      <c r="G109" s="243">
        <f t="shared" si="3"/>
        <v>-3.1091687110275323E-2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D90+D96</f>
        <v>57.287659999999931</v>
      </c>
      <c r="E118" s="221">
        <f>E90+E96</f>
        <v>55.491049999999973</v>
      </c>
      <c r="F118" s="221">
        <f t="shared" si="2"/>
        <v>-1.7966099999999585</v>
      </c>
      <c r="G118" s="243">
        <f>E118/D118-100%</f>
        <v>-3.1361204140646692E-2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</f>
        <v>0</v>
      </c>
      <c r="E123" s="221">
        <f>E95</f>
        <v>1.5440000000000009E-2</v>
      </c>
      <c r="F123" s="221">
        <f t="shared" si="2"/>
        <v>1.5440000000000009E-2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34.457531999999986</v>
      </c>
      <c r="E124" s="221">
        <f>E125+E129+E130+E131+E132+E133+E134+E135+E138</f>
        <v>32.701297999999994</v>
      </c>
      <c r="F124" s="221">
        <f t="shared" si="2"/>
        <v>-1.7562339999999921</v>
      </c>
      <c r="G124" s="243">
        <f>E124/D124-100%</f>
        <v>-5.0968072814965182E-2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D118*20%+23</f>
        <v>34.457531999999986</v>
      </c>
      <c r="E133" s="221">
        <f>E118*20%+21.6</f>
        <v>32.698209999999996</v>
      </c>
      <c r="F133" s="221">
        <f t="shared" si="2"/>
        <v>-1.7593219999999903</v>
      </c>
      <c r="G133" s="243">
        <f>E133/D133-100%</f>
        <v>-5.1057690376663967E-2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</f>
        <v>0</v>
      </c>
      <c r="E138" s="221">
        <f>E123*20%</f>
        <v>3.0880000000000022E-3</v>
      </c>
      <c r="F138" s="221">
        <f t="shared" si="2"/>
        <v>3.0880000000000022E-3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22.830127999999945</v>
      </c>
      <c r="E139" s="221">
        <f>E148</f>
        <v>22.805192000000105</v>
      </c>
      <c r="F139" s="221">
        <f t="shared" si="2"/>
        <v>-2.4935999999840419E-2</v>
      </c>
      <c r="G139" s="243">
        <f>E139/D139-100%</f>
        <v>-1.0922409195358584E-3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D109-D124</f>
        <v>22.830127999999945</v>
      </c>
      <c r="E148" s="221">
        <f>E109-E124</f>
        <v>22.805192000000105</v>
      </c>
      <c r="F148" s="221">
        <f t="shared" si="2"/>
        <v>-2.4935999999840419E-2</v>
      </c>
      <c r="G148" s="243">
        <f>E148/D148-100%</f>
        <v>-1.0922409195358584E-3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22.830127999999945</v>
      </c>
      <c r="E154" s="221">
        <f>E155+E156+E157+E158</f>
        <v>22.805192000000105</v>
      </c>
      <c r="F154" s="221">
        <f t="shared" ref="F154:F161" si="5">E154-D154</f>
        <v>-2.4935999999840419E-2</v>
      </c>
      <c r="G154" s="243">
        <f t="shared" ref="G154:G160" si="6">E154/D154-100%</f>
        <v>-1.0922409195358584E-3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9.4221850000000007</v>
      </c>
      <c r="E155" s="224">
        <v>9.4221850000000007</v>
      </c>
      <c r="F155" s="221">
        <f t="shared" si="5"/>
        <v>0</v>
      </c>
      <c r="G155" s="243">
        <f t="shared" si="6"/>
        <v>0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13.407942999999944</v>
      </c>
      <c r="E158" s="231">
        <f>E139-E155</f>
        <v>13.383007000000104</v>
      </c>
      <c r="F158" s="241">
        <f t="shared" si="5"/>
        <v>-2.4935999999840419E-2</v>
      </c>
      <c r="G158" s="259">
        <f>E158/D158-100%</f>
        <v>-1.8597931091921538E-3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</f>
        <v>96.72061999999994</v>
      </c>
      <c r="E160" s="221">
        <f>E109+E105+E69</f>
        <v>95.019050000000092</v>
      </c>
      <c r="F160" s="221">
        <f t="shared" si="5"/>
        <v>-1.7015699999998475</v>
      </c>
      <c r="G160" s="243">
        <f t="shared" si="6"/>
        <v>-1.7592629162218487E-2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4" t="s">
        <v>428</v>
      </c>
      <c r="B166" s="375"/>
      <c r="C166" s="375"/>
      <c r="D166" s="375"/>
      <c r="E166" s="375"/>
      <c r="F166" s="375"/>
      <c r="G166" s="375"/>
      <c r="H166" s="376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1328.6179999999999</v>
      </c>
      <c r="E167" s="226">
        <f>394.051+318.686+301.941+366.747</f>
        <v>1381.425</v>
      </c>
      <c r="F167" s="226">
        <f t="shared" ref="F167:F230" si="7">E167-D167</f>
        <v>52.807000000000016</v>
      </c>
      <c r="G167" s="261">
        <f>E167/D167-100%</f>
        <v>3.9745811060816649E-2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1328.019</v>
      </c>
      <c r="E176" s="221">
        <f>393.4+317.374+301.791+366.597</f>
        <v>1379.162</v>
      </c>
      <c r="F176" s="221">
        <f t="shared" si="7"/>
        <v>51.143000000000029</v>
      </c>
      <c r="G176" s="243">
        <f>E176/D176-100%</f>
        <v>3.851074419869005E-2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f>D167-D176</f>
        <v>0.5989999999999327</v>
      </c>
      <c r="E184" s="221">
        <f>E167-E176</f>
        <v>2.26299999999992</v>
      </c>
      <c r="F184" s="221">
        <f t="shared" si="7"/>
        <v>1.6639999999999873</v>
      </c>
      <c r="G184" s="243">
        <f>E184/D184-100%</f>
        <v>2.7779632721204912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1253.8720000000001</v>
      </c>
      <c r="E185" s="221">
        <f>375.976+257.17+270.188+342.768</f>
        <v>1246.1019999999999</v>
      </c>
      <c r="F185" s="221">
        <f t="shared" si="7"/>
        <v>-7.7700000000002092</v>
      </c>
      <c r="G185" s="243">
        <f>E185/D185-100%</f>
        <v>-6.1968047775212698E-3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823.875</v>
      </c>
      <c r="E187" s="221">
        <f>E188</f>
        <v>855.96399999999994</v>
      </c>
      <c r="F187" s="221">
        <f t="shared" si="7"/>
        <v>32.088999999999942</v>
      </c>
      <c r="G187" s="243">
        <f>E187/D187-100%</f>
        <v>3.8948869670763164E-2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823.875</v>
      </c>
      <c r="E188" s="221">
        <f>261.152+198.368+175.207+221.237</f>
        <v>855.96399999999994</v>
      </c>
      <c r="F188" s="221">
        <f t="shared" si="7"/>
        <v>32.088999999999942</v>
      </c>
      <c r="G188" s="243">
        <f>E188/D188-100%</f>
        <v>3.8948869670763164E-2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>
        <v>1.931</v>
      </c>
      <c r="E189" s="221">
        <f>1.35+0.851+0.829</f>
        <v>3.0300000000000002</v>
      </c>
      <c r="F189" s="221">
        <f>E189-D189</f>
        <v>1.0990000000000002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288.85899999999998</v>
      </c>
      <c r="E192" s="221">
        <f>87.997+64.391+61.433+80.047</f>
        <v>293.86799999999999</v>
      </c>
      <c r="F192" s="221">
        <f t="shared" si="7"/>
        <v>5.0090000000000146</v>
      </c>
      <c r="G192" s="243">
        <f>E192/D192-100%</f>
        <v>1.734064024316373E-2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4">
        <v>27.347999999999999</v>
      </c>
      <c r="E194" s="221">
        <f>4.499+7.314+7.252+10.542</f>
        <v>29.606999999999999</v>
      </c>
      <c r="F194" s="221">
        <f t="shared" si="7"/>
        <v>2.2590000000000003</v>
      </c>
      <c r="G194" s="243">
        <f t="shared" ref="G194:G200" si="10">E194/D194-100%</f>
        <v>8.2602018429135615E-2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4">
        <v>8.9209999999999994</v>
      </c>
      <c r="E195" s="221">
        <f>2.853+1.841+2.156+2.028</f>
        <v>8.8780000000000001</v>
      </c>
      <c r="F195" s="221">
        <f t="shared" si="7"/>
        <v>-4.2999999999999261E-2</v>
      </c>
      <c r="G195" s="243">
        <f t="shared" si="10"/>
        <v>-4.8200874341440825E-3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f>51.574-D195</f>
        <v>42.652999999999999</v>
      </c>
      <c r="E196" s="224">
        <f>51.574-E195</f>
        <v>42.695999999999998</v>
      </c>
      <c r="F196" s="221">
        <f t="shared" si="7"/>
        <v>4.2999999999999261E-2</v>
      </c>
      <c r="G196" s="243">
        <f t="shared" si="10"/>
        <v>1.0081354183761881E-3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4">
        <v>4.9059999999999997</v>
      </c>
      <c r="E197" s="221">
        <f>2.339+1.827+0.04</f>
        <v>4.2060000000000004</v>
      </c>
      <c r="F197" s="221">
        <f t="shared" si="7"/>
        <v>-0.69999999999999929</v>
      </c>
      <c r="G197" s="243">
        <f t="shared" si="10"/>
        <v>-0.1426824296779452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4">
        <v>6.1260000000000003</v>
      </c>
      <c r="E198" s="221">
        <f>1.809+0.775+0.632+0.869</f>
        <v>4.085</v>
      </c>
      <c r="F198" s="221">
        <f t="shared" si="7"/>
        <v>-2.0410000000000004</v>
      </c>
      <c r="G198" s="243">
        <f t="shared" si="10"/>
        <v>-0.33317009467841985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4">
        <v>1.0860000000000001</v>
      </c>
      <c r="E199" s="221">
        <f>0.159+2.83+0.169+0.239</f>
        <v>3.3969999999999998</v>
      </c>
      <c r="F199" s="221">
        <f t="shared" si="7"/>
        <v>2.3109999999999999</v>
      </c>
      <c r="G199" s="243">
        <f t="shared" si="10"/>
        <v>2.1279926335174948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4">
        <v>0.09</v>
      </c>
      <c r="E200" s="221">
        <f>0.131+0.113+0.023+0.023</f>
        <v>0.29000000000000004</v>
      </c>
      <c r="F200" s="221">
        <f t="shared" si="7"/>
        <v>0.20000000000000004</v>
      </c>
      <c r="G200" s="243">
        <f t="shared" si="10"/>
        <v>2.2222222222222228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54.914000000000087</v>
      </c>
      <c r="E202" s="221">
        <f>E185-E187-E192-E194-E195-E196-E199-E200</f>
        <v>11.401999999999926</v>
      </c>
      <c r="F202" s="221">
        <f t="shared" si="7"/>
        <v>-43.512000000000157</v>
      </c>
      <c r="G202" s="243">
        <f>E202/D202-100%</f>
        <v>-0.79236624540190281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0</v>
      </c>
      <c r="E203" s="221">
        <v>0</v>
      </c>
      <c r="F203" s="221">
        <f t="shared" ref="F203:F209" si="11">E203-D203</f>
        <v>0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4">
        <v>0</v>
      </c>
      <c r="E204" s="221">
        <v>0</v>
      </c>
      <c r="F204" s="221">
        <f t="shared" si="11"/>
        <v>0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22.686</v>
      </c>
      <c r="E210" s="221">
        <f>E211+E218+E219</f>
        <v>22.204000000000001</v>
      </c>
      <c r="F210" s="221">
        <f t="shared" si="7"/>
        <v>-0.48199999999999932</v>
      </c>
      <c r="G210" s="243">
        <f>E210/D210-100%</f>
        <v>-2.1246583796173835E-2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f>D212+D213+D214+D215+D216+D217</f>
        <v>22.686</v>
      </c>
      <c r="E211" s="221">
        <f>E212+E213+E214+E215+E216+E217</f>
        <v>22.204000000000001</v>
      </c>
      <c r="F211" s="221">
        <f t="shared" si="7"/>
        <v>-0.48199999999999932</v>
      </c>
      <c r="G211" s="243">
        <f>E211/D211-100%</f>
        <v>-2.1246583796173835E-2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7.7610000000000001</v>
      </c>
      <c r="E213" s="221">
        <f>1.474+0+4.213+2.755</f>
        <v>8.4420000000000002</v>
      </c>
      <c r="F213" s="221">
        <f t="shared" si="7"/>
        <v>0.68100000000000005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f>22.686-D213</f>
        <v>14.925000000000001</v>
      </c>
      <c r="E215" s="221">
        <f>2.905+12.236+5.638+1.425-E213</f>
        <v>13.762</v>
      </c>
      <c r="F215" s="221">
        <f t="shared" si="7"/>
        <v>-1.1630000000000003</v>
      </c>
      <c r="G215" s="243">
        <f>E215/D215-100%</f>
        <v>-7.7922948073701814E-2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v>234.5</v>
      </c>
      <c r="E222" s="221">
        <f>67.149+53.657+58+58</f>
        <v>236.80599999999998</v>
      </c>
      <c r="F222" s="221">
        <f t="shared" si="7"/>
        <v>2.3059999999999832</v>
      </c>
      <c r="G222" s="243">
        <f>E222/D222-100%</f>
        <v>9.833688699360188E-3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>
        <v>0</v>
      </c>
      <c r="E224" s="221">
        <v>0</v>
      </c>
      <c r="F224" s="221">
        <f t="shared" si="7"/>
        <v>0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>
        <f>D222</f>
        <v>234.5</v>
      </c>
      <c r="E234" s="221">
        <f>E222</f>
        <v>236.80599999999998</v>
      </c>
      <c r="F234" s="221">
        <f t="shared" ref="F234:F294" si="12">E234-D234</f>
        <v>2.3059999999999832</v>
      </c>
      <c r="G234" s="243">
        <f>E234/D234-100%</f>
        <v>9.833688699360188E-3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v>286.25599999999997</v>
      </c>
      <c r="E235" s="221">
        <f>96.109+79.544+84+94</f>
        <v>353.65300000000002</v>
      </c>
      <c r="F235" s="221">
        <f t="shared" si="12"/>
        <v>67.397000000000048</v>
      </c>
      <c r="G235" s="243">
        <f>E235/D235-100%</f>
        <v>0.23544309988262269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v>0</v>
      </c>
      <c r="E236" s="221">
        <v>0</v>
      </c>
      <c r="F236" s="221">
        <f t="shared" si="12"/>
        <v>0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>
        <v>0</v>
      </c>
      <c r="E237" s="221">
        <v>0</v>
      </c>
      <c r="F237" s="221">
        <f t="shared" si="12"/>
        <v>0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f>D235</f>
        <v>286.25599999999997</v>
      </c>
      <c r="E241" s="221">
        <f>E235</f>
        <v>353.65300000000002</v>
      </c>
      <c r="F241" s="221">
        <f t="shared" si="12"/>
        <v>67.397000000000048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74.745999999999867</v>
      </c>
      <c r="E242" s="221">
        <f>E167-E185</f>
        <v>135.32300000000009</v>
      </c>
      <c r="F242" s="221">
        <f t="shared" si="12"/>
        <v>60.577000000000226</v>
      </c>
      <c r="G242" s="243">
        <f>E242/D242-100%</f>
        <v>0.81043801675006466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-22.686</v>
      </c>
      <c r="E243" s="221">
        <f>E203-E210</f>
        <v>-22.204000000000001</v>
      </c>
      <c r="F243" s="221">
        <f t="shared" si="12"/>
        <v>0.48199999999999932</v>
      </c>
      <c r="G243" s="243">
        <f>E243/D243-100%</f>
        <v>-2.1246583796173835E-2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-22.686</v>
      </c>
      <c r="E244" s="221">
        <f>E203-E210</f>
        <v>-22.204000000000001</v>
      </c>
      <c r="F244" s="221">
        <f t="shared" si="12"/>
        <v>0.48199999999999932</v>
      </c>
      <c r="G244" s="243">
        <f>E244/D244-100%</f>
        <v>-2.1246583796173835E-2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-51.755999999999972</v>
      </c>
      <c r="E246" s="221">
        <f>E222-E235</f>
        <v>-116.84700000000004</v>
      </c>
      <c r="F246" s="221">
        <f t="shared" si="12"/>
        <v>-65.091000000000065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0</v>
      </c>
      <c r="E247" s="221">
        <f>E225-E237</f>
        <v>0</v>
      </c>
      <c r="F247" s="221">
        <f t="shared" si="12"/>
        <v>0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v>0</v>
      </c>
      <c r="E249" s="221">
        <v>0</v>
      </c>
      <c r="F249" s="221">
        <f t="shared" si="12"/>
        <v>0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0.30399999999989546</v>
      </c>
      <c r="E250" s="221">
        <f>E242+E243+E246+E249</f>
        <v>-3.7279999999999518</v>
      </c>
      <c r="F250" s="221">
        <f t="shared" si="12"/>
        <v>-4.0319999999998473</v>
      </c>
      <c r="G250" s="243">
        <f>E250/D250-100%</f>
        <v>-13.2631578947409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15.603</v>
      </c>
      <c r="E251" s="221">
        <f>D251</f>
        <v>15.603</v>
      </c>
      <c r="F251" s="221">
        <f t="shared" si="12"/>
        <v>0</v>
      </c>
      <c r="G251" s="243">
        <f>E251/D251-100%</f>
        <v>0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f>D250+D251</f>
        <v>15.906999999999895</v>
      </c>
      <c r="E252" s="231">
        <f>E250+E251</f>
        <v>11.875000000000048</v>
      </c>
      <c r="F252" s="241">
        <f t="shared" si="12"/>
        <v>-4.0319999999998473</v>
      </c>
      <c r="G252" s="245">
        <f>E252/D252-100%</f>
        <v>-0.25347331363549841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98.16</v>
      </c>
      <c r="E254" s="221">
        <v>98.09</v>
      </c>
      <c r="F254" s="221">
        <f t="shared" si="12"/>
        <v>-6.9999999999993179E-2</v>
      </c>
      <c r="G254" s="243">
        <f>E254/D254-100%</f>
        <v>-7.1312143439272724E-4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96.03</v>
      </c>
      <c r="E271" s="221">
        <v>97.03</v>
      </c>
      <c r="F271" s="221">
        <f t="shared" si="12"/>
        <v>1</v>
      </c>
      <c r="G271" s="243">
        <f>E271/D271-100%</f>
        <v>1.0413412475268169E-2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f>D254-D271</f>
        <v>2.1299999999999955</v>
      </c>
      <c r="E281" s="221">
        <f>E254-E271</f>
        <v>1.0600000000000023</v>
      </c>
      <c r="F281" s="221">
        <f t="shared" si="12"/>
        <v>-1.0699999999999932</v>
      </c>
      <c r="G281" s="243">
        <f>E281/D281-100%</f>
        <v>-0.50234741784037351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56.03</v>
      </c>
      <c r="E283" s="221">
        <v>55.96</v>
      </c>
      <c r="F283" s="221">
        <f t="shared" si="12"/>
        <v>-7.0000000000000284E-2</v>
      </c>
      <c r="G283" s="243">
        <f>E283/D283-100%</f>
        <v>-1.2493307156880018E-3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32</v>
      </c>
      <c r="E286" s="221">
        <v>31.97</v>
      </c>
      <c r="F286" s="221">
        <f t="shared" si="12"/>
        <v>-3.0000000000001137E-2</v>
      </c>
      <c r="G286" s="243">
        <f>E286/D286-100%</f>
        <v>-9.3750000000003553E-4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/>
      <c r="E287" s="221">
        <v>0</v>
      </c>
      <c r="F287" s="221">
        <f t="shared" si="12"/>
        <v>0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0.3</v>
      </c>
      <c r="E289" s="221">
        <v>0.28999999999999998</v>
      </c>
      <c r="F289" s="221">
        <f t="shared" si="12"/>
        <v>-1.0000000000000009E-2</v>
      </c>
      <c r="G289" s="243">
        <f>E289/D289-100%</f>
        <v>-3.3333333333333326E-2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12.3</v>
      </c>
      <c r="E293" s="221">
        <v>12.1</v>
      </c>
      <c r="F293" s="221">
        <f t="shared" si="12"/>
        <v>-0.20000000000000107</v>
      </c>
      <c r="G293" s="243">
        <f>E293/D293-100%</f>
        <v>-1.6260162601626105E-2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3.34</v>
      </c>
      <c r="E297" s="221">
        <v>3.29</v>
      </c>
      <c r="F297" s="221">
        <f t="shared" si="13"/>
        <v>-4.9999999999999822E-2</v>
      </c>
      <c r="G297" s="243">
        <f>E297/D297-100%</f>
        <v>-1.4970059880239472E-2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f>D283-D286-D293-D297</f>
        <v>8.39</v>
      </c>
      <c r="E303" s="221">
        <f>E283-E286-E293-E297</f>
        <v>8.6000000000000014</v>
      </c>
      <c r="F303" s="221">
        <f t="shared" si="13"/>
        <v>0.21000000000000085</v>
      </c>
      <c r="G303" s="243">
        <f>E303/D303-100%</f>
        <v>2.5029797377830842E-2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0.98533863270134869</v>
      </c>
      <c r="E305" s="243">
        <f>E313</f>
        <v>0.99239060380374033</v>
      </c>
      <c r="F305" s="243">
        <f t="shared" si="13"/>
        <v>7.0519711023916409E-3</v>
      </c>
      <c r="G305" s="243">
        <f>E305/D305-100%</f>
        <v>7.1569010575160963E-3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0.98533863270134869</v>
      </c>
      <c r="E313" s="243">
        <f>E167/(E23*1.2)</f>
        <v>0.99239060380374033</v>
      </c>
      <c r="F313" s="243">
        <f t="shared" si="13"/>
        <v>7.0519711023916409E-3</v>
      </c>
      <c r="G313" s="243">
        <f>E313/D313-100%</f>
        <v>7.1569010575160963E-3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4" t="s">
        <v>672</v>
      </c>
      <c r="B318" s="375"/>
      <c r="C318" s="375"/>
      <c r="D318" s="375"/>
      <c r="E318" s="375"/>
      <c r="F318" s="375"/>
      <c r="G318" s="375"/>
      <c r="H318" s="376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219.62470999999999</v>
      </c>
      <c r="E352" s="221">
        <f>70.47669+54.61446+45.91302+59.07319</f>
        <v>230.07736</v>
      </c>
      <c r="F352" s="221">
        <f>E352-D352</f>
        <v>10.452650000000006</v>
      </c>
      <c r="G352" s="243">
        <f>E352/D352-100%</f>
        <v>4.7593233020091441E-2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D32-D55-D64-D66</f>
        <v>217.52599999999998</v>
      </c>
      <c r="E354" s="221">
        <f>E32-E55-E64-E66</f>
        <v>217.52680999999993</v>
      </c>
      <c r="F354" s="221">
        <f>E354-D354</f>
        <v>8.0999999994446625E-4</v>
      </c>
      <c r="G354" s="243">
        <f>E354/D354-100%</f>
        <v>3.7236927996620039E-6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49</v>
      </c>
      <c r="E367" s="266">
        <v>45</v>
      </c>
      <c r="F367" s="231">
        <f>E367-D367</f>
        <v>-4</v>
      </c>
      <c r="G367" s="245" t="s">
        <v>419</v>
      </c>
      <c r="H367" s="237"/>
    </row>
    <row r="368" spans="1:9" x14ac:dyDescent="0.25">
      <c r="A368" s="377" t="s">
        <v>766</v>
      </c>
      <c r="B368" s="378"/>
      <c r="C368" s="378"/>
      <c r="D368" s="378"/>
      <c r="E368" s="378"/>
      <c r="F368" s="378"/>
      <c r="G368" s="378"/>
      <c r="H368" s="379"/>
    </row>
    <row r="369" spans="1:8" ht="16.5" thickBot="1" x14ac:dyDescent="0.3">
      <c r="A369" s="380"/>
      <c r="B369" s="381"/>
      <c r="C369" s="381"/>
      <c r="D369" s="381"/>
      <c r="E369" s="381"/>
      <c r="F369" s="381"/>
      <c r="G369" s="381"/>
      <c r="H369" s="382"/>
    </row>
    <row r="370" spans="1:8" ht="67.5" customHeight="1" x14ac:dyDescent="0.25">
      <c r="A370" s="365" t="s">
        <v>148</v>
      </c>
      <c r="B370" s="367" t="s">
        <v>149</v>
      </c>
      <c r="C370" s="369" t="s">
        <v>247</v>
      </c>
      <c r="D370" s="371" t="str">
        <f>D19</f>
        <v>Отчетный 2022 год</v>
      </c>
      <c r="E370" s="372"/>
      <c r="F370" s="373" t="s">
        <v>834</v>
      </c>
      <c r="G370" s="372"/>
      <c r="H370" s="360" t="s">
        <v>7</v>
      </c>
    </row>
    <row r="371" spans="1:8" ht="47.25" x14ac:dyDescent="0.25">
      <c r="A371" s="366"/>
      <c r="B371" s="368"/>
      <c r="C371" s="370"/>
      <c r="D371" s="138" t="s">
        <v>827</v>
      </c>
      <c r="E371" s="139" t="s">
        <v>10</v>
      </c>
      <c r="F371" s="139" t="s">
        <v>828</v>
      </c>
      <c r="G371" s="138" t="s">
        <v>826</v>
      </c>
      <c r="H371" s="361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62" t="s">
        <v>767</v>
      </c>
      <c r="B373" s="363"/>
      <c r="C373" s="147" t="s">
        <v>846</v>
      </c>
      <c r="D373" s="225">
        <f>D374+D431</f>
        <v>9.4221850000000007</v>
      </c>
      <c r="E373" s="228">
        <f>E374+E431</f>
        <v>9.4221850000000007</v>
      </c>
      <c r="F373" s="247">
        <f t="shared" ref="F373:F436" si="15">E373-D373</f>
        <v>0</v>
      </c>
      <c r="G373" s="263">
        <f>E373/D373-100%</f>
        <v>0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9.4221850000000007</v>
      </c>
      <c r="E374" s="228">
        <f>E375</f>
        <v>9.4221850000000007</v>
      </c>
      <c r="F374" s="228">
        <f t="shared" si="15"/>
        <v>0</v>
      </c>
      <c r="G374" s="262">
        <f>E374/D374-100%</f>
        <v>0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9.4221850000000007</v>
      </c>
      <c r="E375" s="228">
        <f>E376+E394+E398</f>
        <v>9.4221850000000007</v>
      </c>
      <c r="F375" s="228">
        <f t="shared" si="15"/>
        <v>0</v>
      </c>
      <c r="G375" s="262">
        <f>E375/D375-100%</f>
        <v>0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9.4221850000000007</v>
      </c>
      <c r="E376" s="228">
        <f>E377+E381+E382+E383+E384+E389+E390+E391</f>
        <v>9.4221850000000007</v>
      </c>
      <c r="F376" s="248">
        <f t="shared" si="15"/>
        <v>0</v>
      </c>
      <c r="G376" s="262">
        <f>E376/D376-100%</f>
        <v>0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f>D155</f>
        <v>9.4221850000000007</v>
      </c>
      <c r="E389" s="221">
        <f>D389</f>
        <v>9.4221850000000007</v>
      </c>
      <c r="F389" s="229">
        <f t="shared" si="15"/>
        <v>0</v>
      </c>
      <c r="G389" s="243">
        <f>E389/D389-100%</f>
        <v>0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64" t="s">
        <v>820</v>
      </c>
      <c r="B455" s="364"/>
      <c r="C455" s="364"/>
      <c r="D455" s="364"/>
      <c r="E455" s="364"/>
      <c r="F455" s="364"/>
      <c r="G455" s="364"/>
      <c r="H455" s="364"/>
    </row>
    <row r="456" spans="1:8" x14ac:dyDescent="0.25">
      <c r="A456" s="364" t="s">
        <v>821</v>
      </c>
      <c r="B456" s="364"/>
      <c r="C456" s="364"/>
      <c r="D456" s="364"/>
      <c r="E456" s="364"/>
      <c r="F456" s="364"/>
      <c r="G456" s="364"/>
      <c r="H456" s="364"/>
    </row>
    <row r="457" spans="1:8" x14ac:dyDescent="0.25">
      <c r="A457" s="364" t="s">
        <v>822</v>
      </c>
      <c r="B457" s="364"/>
      <c r="C457" s="364"/>
      <c r="D457" s="364"/>
      <c r="E457" s="364"/>
      <c r="F457" s="364"/>
      <c r="G457" s="364"/>
      <c r="H457" s="364"/>
    </row>
    <row r="458" spans="1:8" x14ac:dyDescent="0.25">
      <c r="A458" s="383" t="s">
        <v>823</v>
      </c>
      <c r="B458" s="383"/>
      <c r="C458" s="383"/>
      <c r="D458" s="383"/>
      <c r="E458" s="383"/>
      <c r="F458" s="383"/>
      <c r="G458" s="383"/>
      <c r="H458" s="383"/>
    </row>
    <row r="459" spans="1:8" x14ac:dyDescent="0.25">
      <c r="A459" s="359" t="s">
        <v>824</v>
      </c>
      <c r="B459" s="359"/>
      <c r="C459" s="359"/>
      <c r="D459" s="359"/>
      <c r="E459" s="359"/>
      <c r="F459" s="359"/>
      <c r="G459" s="359"/>
      <c r="H459" s="359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21квФп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'21квФп'!Область_печати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2022-08-11T05:45:57Z</dcterms:modified>
</cp:coreProperties>
</file>